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defaultThemeVersion="124226"/>
  <mc:AlternateContent xmlns:mc="http://schemas.openxmlformats.org/markup-compatibility/2006">
    <mc:Choice Requires="x15">
      <x15ac:absPath xmlns:x15ac="http://schemas.microsoft.com/office/spreadsheetml/2010/11/ac" url="https://netorg2976948-my.sharepoint.com/personal/craig_weiss_craigweissgrp_com/Documents/Documents/"/>
    </mc:Choice>
  </mc:AlternateContent>
  <xr:revisionPtr revIDLastSave="0" documentId="8_{0A160110-5216-4B8F-A7EF-EA123AC37FD1}" xr6:coauthVersionLast="47" xr6:coauthVersionMax="47" xr10:uidLastSave="{00000000-0000-0000-0000-000000000000}"/>
  <bookViews>
    <workbookView xWindow="-120" yWindow="-120" windowWidth="29040" windowHeight="15720" tabRatio="916" firstSheet="2" activeTab="2" xr2:uid="{00000000-000D-0000-FFFF-FFFF00000000}"/>
  </bookViews>
  <sheets>
    <sheet name="Sheet2" sheetId="15" state="hidden" r:id="rId1"/>
    <sheet name="Sheet1" sheetId="14" state="hidden" r:id="rId2"/>
    <sheet name="YourInformation " sheetId="45" r:id="rId3"/>
    <sheet name="Features_Functionality " sheetId="19" r:id="rId4"/>
    <sheet name="Mentoring" sheetId="47" r:id="rId5"/>
    <sheet name="cohort_based_learning" sheetId="46" r:id="rId6"/>
    <sheet name="Skills_Specific_Functionality " sheetId="36" r:id="rId7"/>
    <sheet name="Tech_Security " sheetId="38" r:id="rId8"/>
    <sheet name="Training_Support" sheetId="39" r:id="rId9"/>
    <sheet name="SystemInfo" sheetId="40" r:id="rId10"/>
    <sheet name="DV-IDENTITY-0" sheetId="5" state="veryHidden" r:id="rId11"/>
  </sheets>
  <definedNames>
    <definedName name="hi">Sheet1!$A:$A</definedName>
    <definedName name="no">#REF!</definedName>
    <definedName name="okay">Sheet1!$A$2:$A$42</definedName>
    <definedName name="options">#REF!</definedName>
    <definedName name="org">Sheet1!$L$3:$L$7</definedName>
    <definedName name="time">Sheet1!$H$2:$H$25</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5" l="1"/>
  <c r="V8" i="5"/>
  <c r="U8" i="5"/>
  <c r="T8" i="5"/>
  <c r="S8" i="5"/>
  <c r="R8" i="5"/>
  <c r="Q8" i="5"/>
  <c r="P8" i="5"/>
  <c r="O8" i="5"/>
  <c r="N8" i="5"/>
  <c r="M8" i="5"/>
  <c r="L8" i="5"/>
  <c r="K8" i="5"/>
  <c r="J8" i="5"/>
  <c r="I8" i="5"/>
  <c r="H8" i="5"/>
  <c r="G8" i="5"/>
  <c r="F8" i="5"/>
  <c r="E8" i="5"/>
  <c r="D8" i="5"/>
  <c r="C8" i="5"/>
  <c r="B8" i="5"/>
  <c r="A8" i="5"/>
  <c r="IV7" i="5"/>
  <c r="IU7" i="5"/>
  <c r="IT7" i="5"/>
  <c r="IS7" i="5"/>
  <c r="IR7" i="5"/>
  <c r="IQ7" i="5"/>
  <c r="IP7" i="5"/>
  <c r="IO7" i="5"/>
  <c r="IN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V7" i="5"/>
  <c r="GU7" i="5"/>
  <c r="GT7" i="5"/>
  <c r="GS7" i="5"/>
  <c r="GR7" i="5"/>
  <c r="GQ7" i="5"/>
  <c r="GP7" i="5"/>
  <c r="GO7" i="5"/>
  <c r="GN7" i="5"/>
  <c r="GM7" i="5"/>
  <c r="GL7" i="5"/>
  <c r="GK7" i="5"/>
  <c r="GJ7" i="5"/>
  <c r="GI7" i="5"/>
  <c r="GH7" i="5"/>
  <c r="GG7" i="5"/>
  <c r="GF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A7" i="5"/>
  <c r="IV6" i="5"/>
  <c r="IU6" i="5"/>
  <c r="IT6" i="5"/>
  <c r="IS6" i="5"/>
  <c r="IR6" i="5"/>
  <c r="IQ6" i="5"/>
  <c r="IP6" i="5"/>
  <c r="IO6" i="5"/>
  <c r="IN6" i="5"/>
  <c r="IM6" i="5"/>
  <c r="IL6" i="5"/>
  <c r="IK6" i="5"/>
  <c r="IJ6" i="5"/>
  <c r="II6" i="5"/>
  <c r="IH6" i="5"/>
  <c r="IG6" i="5"/>
  <c r="IF6" i="5"/>
  <c r="IE6" i="5"/>
  <c r="ID6" i="5"/>
  <c r="IC6" i="5"/>
  <c r="IB6" i="5"/>
  <c r="IA6" i="5"/>
  <c r="HZ6" i="5"/>
  <c r="HY6" i="5"/>
  <c r="HX6" i="5"/>
  <c r="HW6" i="5"/>
  <c r="HV6" i="5"/>
  <c r="HU6" i="5"/>
  <c r="HT6" i="5"/>
  <c r="HS6" i="5"/>
  <c r="HR6" i="5"/>
  <c r="HQ6" i="5"/>
  <c r="HP6" i="5"/>
  <c r="HO6" i="5"/>
  <c r="HN6" i="5"/>
  <c r="HM6" i="5"/>
  <c r="HL6" i="5"/>
  <c r="HK6" i="5"/>
  <c r="HJ6" i="5"/>
  <c r="HI6" i="5"/>
  <c r="HH6" i="5"/>
  <c r="HG6" i="5"/>
  <c r="HF6" i="5"/>
  <c r="HE6" i="5"/>
  <c r="HD6" i="5"/>
  <c r="HC6" i="5"/>
  <c r="HB6" i="5"/>
  <c r="HA6" i="5"/>
  <c r="GZ6" i="5"/>
  <c r="GY6" i="5"/>
  <c r="GX6" i="5"/>
  <c r="GW6" i="5"/>
  <c r="GV6" i="5"/>
  <c r="GU6" i="5"/>
  <c r="GT6" i="5"/>
  <c r="GS6" i="5"/>
  <c r="GR6" i="5"/>
  <c r="GQ6" i="5"/>
  <c r="GP6" i="5"/>
  <c r="GO6" i="5"/>
  <c r="GN6" i="5"/>
  <c r="GM6" i="5"/>
  <c r="GL6" i="5"/>
  <c r="GK6" i="5"/>
  <c r="GJ6" i="5"/>
  <c r="GI6" i="5"/>
  <c r="GH6" i="5"/>
  <c r="GG6" i="5"/>
  <c r="GF6" i="5"/>
  <c r="GE6" i="5"/>
  <c r="GD6" i="5"/>
  <c r="GC6" i="5"/>
  <c r="GB6" i="5"/>
  <c r="GA6" i="5"/>
  <c r="FZ6" i="5"/>
  <c r="FY6" i="5"/>
  <c r="FX6" i="5"/>
  <c r="FW6" i="5"/>
  <c r="FV6" i="5"/>
  <c r="FU6" i="5"/>
  <c r="FT6" i="5"/>
  <c r="FS6" i="5"/>
  <c r="FR6" i="5"/>
  <c r="FQ6" i="5"/>
  <c r="FP6" i="5"/>
  <c r="FO6" i="5"/>
  <c r="FN6" i="5"/>
  <c r="FM6" i="5"/>
  <c r="FL6" i="5"/>
  <c r="FK6"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A6" i="5"/>
  <c r="IV5" i="5"/>
  <c r="IU5" i="5"/>
  <c r="IT5" i="5"/>
  <c r="IS5" i="5"/>
  <c r="IR5" i="5"/>
  <c r="IQ5" i="5"/>
  <c r="IP5" i="5"/>
  <c r="IO5" i="5"/>
  <c r="IN5" i="5"/>
  <c r="IM5" i="5"/>
  <c r="IL5" i="5"/>
  <c r="IK5" i="5"/>
  <c r="IJ5" i="5"/>
  <c r="II5" i="5"/>
  <c r="IH5" i="5"/>
  <c r="IG5" i="5"/>
  <c r="IF5" i="5"/>
  <c r="IE5" i="5"/>
  <c r="ID5" i="5"/>
  <c r="IC5" i="5"/>
  <c r="IB5" i="5"/>
  <c r="IA5" i="5"/>
  <c r="HZ5" i="5"/>
  <c r="HY5" i="5"/>
  <c r="HX5" i="5"/>
  <c r="HW5" i="5"/>
  <c r="HV5" i="5"/>
  <c r="HU5" i="5"/>
  <c r="HT5" i="5"/>
  <c r="HS5" i="5"/>
  <c r="HR5" i="5"/>
  <c r="HQ5" i="5"/>
  <c r="HP5" i="5"/>
  <c r="HO5" i="5"/>
  <c r="HN5" i="5"/>
  <c r="HM5" i="5"/>
  <c r="HL5" i="5"/>
  <c r="HK5" i="5"/>
  <c r="HJ5" i="5"/>
  <c r="HI5" i="5"/>
  <c r="HH5" i="5"/>
  <c r="HG5" i="5"/>
  <c r="HF5" i="5"/>
  <c r="HE5" i="5"/>
  <c r="HD5" i="5"/>
  <c r="HC5" i="5"/>
  <c r="HB5" i="5"/>
  <c r="HA5" i="5"/>
  <c r="GZ5" i="5"/>
  <c r="GY5" i="5"/>
  <c r="GX5" i="5"/>
  <c r="GW5" i="5"/>
  <c r="GV5" i="5"/>
  <c r="GU5" i="5"/>
  <c r="GT5" i="5"/>
  <c r="GS5" i="5"/>
  <c r="GR5" i="5"/>
  <c r="GQ5" i="5"/>
  <c r="GP5" i="5"/>
  <c r="GO5" i="5"/>
  <c r="GN5" i="5"/>
  <c r="GM5" i="5"/>
  <c r="GL5" i="5"/>
  <c r="GK5" i="5"/>
  <c r="GJ5" i="5"/>
  <c r="GI5" i="5"/>
  <c r="GH5" i="5"/>
  <c r="GG5" i="5"/>
  <c r="GF5" i="5"/>
  <c r="GE5" i="5"/>
  <c r="GD5" i="5"/>
  <c r="GC5" i="5"/>
  <c r="GB5" i="5"/>
  <c r="GA5" i="5"/>
  <c r="FZ5" i="5"/>
  <c r="FY5" i="5"/>
  <c r="FX5" i="5"/>
  <c r="FW5" i="5"/>
  <c r="FV5" i="5"/>
  <c r="FU5" i="5"/>
  <c r="FT5" i="5"/>
  <c r="FS5" i="5"/>
  <c r="FR5" i="5"/>
  <c r="FQ5" i="5"/>
  <c r="FP5" i="5"/>
  <c r="FO5" i="5"/>
  <c r="FN5" i="5"/>
  <c r="FM5" i="5"/>
  <c r="FL5" i="5"/>
  <c r="FK5" i="5"/>
  <c r="FJ5" i="5"/>
  <c r="FI5" i="5"/>
  <c r="FH5" i="5"/>
  <c r="FG5" i="5"/>
  <c r="FF5" i="5"/>
  <c r="FE5" i="5"/>
  <c r="FD5" i="5"/>
  <c r="FC5" i="5"/>
  <c r="FB5" i="5"/>
  <c r="FA5" i="5"/>
  <c r="EZ5" i="5"/>
  <c r="EY5" i="5"/>
  <c r="EX5" i="5"/>
  <c r="EW5" i="5"/>
  <c r="EV5" i="5"/>
  <c r="EU5" i="5"/>
  <c r="ET5" i="5"/>
  <c r="ES5" i="5"/>
  <c r="ER5" i="5"/>
  <c r="EQ5" i="5"/>
  <c r="EP5" i="5"/>
  <c r="EO5" i="5"/>
  <c r="EN5" i="5"/>
  <c r="EM5" i="5"/>
  <c r="EL5" i="5"/>
  <c r="EK5" i="5"/>
  <c r="EJ5" i="5"/>
  <c r="EI5" i="5"/>
  <c r="EH5" i="5"/>
  <c r="EG5" i="5"/>
  <c r="EF5" i="5"/>
  <c r="EE5" i="5"/>
  <c r="ED5" i="5"/>
  <c r="EC5" i="5"/>
  <c r="EB5" i="5"/>
  <c r="EA5" i="5"/>
  <c r="DZ5" i="5"/>
  <c r="DY5" i="5"/>
  <c r="DX5" i="5"/>
  <c r="DW5" i="5"/>
  <c r="DV5" i="5"/>
  <c r="DU5" i="5"/>
  <c r="DT5" i="5"/>
  <c r="DS5" i="5"/>
  <c r="DR5" i="5"/>
  <c r="DQ5" i="5"/>
  <c r="DP5" i="5"/>
  <c r="DO5" i="5"/>
  <c r="DN5" i="5"/>
  <c r="DM5" i="5"/>
  <c r="DL5" i="5"/>
  <c r="DK5" i="5"/>
  <c r="DJ5" i="5"/>
  <c r="DI5" i="5"/>
  <c r="DH5" i="5"/>
  <c r="DG5" i="5"/>
  <c r="DF5" i="5"/>
  <c r="DE5" i="5"/>
  <c r="DD5" i="5"/>
  <c r="DC5" i="5"/>
  <c r="DB5" i="5"/>
  <c r="DA5" i="5"/>
  <c r="CZ5" i="5"/>
  <c r="CY5" i="5"/>
  <c r="CX5" i="5"/>
  <c r="CW5" i="5"/>
  <c r="CV5" i="5"/>
  <c r="CU5" i="5"/>
  <c r="CT5" i="5"/>
  <c r="CS5" i="5"/>
  <c r="CR5" i="5"/>
  <c r="CQ5" i="5"/>
  <c r="CP5" i="5"/>
  <c r="CO5" i="5"/>
  <c r="CN5" i="5"/>
  <c r="CM5" i="5"/>
  <c r="CL5" i="5"/>
  <c r="CK5" i="5"/>
  <c r="CJ5" i="5"/>
  <c r="CI5" i="5"/>
  <c r="CH5" i="5"/>
  <c r="CG5" i="5"/>
  <c r="CF5" i="5"/>
  <c r="CE5" i="5"/>
  <c r="CD5" i="5"/>
  <c r="CC5" i="5"/>
  <c r="CB5" i="5"/>
  <c r="CA5" i="5"/>
  <c r="BZ5" i="5"/>
  <c r="BY5" i="5"/>
  <c r="BX5" i="5"/>
  <c r="BW5" i="5"/>
  <c r="BV5" i="5"/>
  <c r="BU5" i="5"/>
  <c r="BT5" i="5"/>
  <c r="BS5" i="5"/>
  <c r="BR5" i="5"/>
  <c r="BQ5" i="5"/>
  <c r="BP5" i="5"/>
  <c r="BO5" i="5"/>
  <c r="BN5" i="5"/>
  <c r="BM5" i="5"/>
  <c r="BL5" i="5"/>
  <c r="BK5" i="5"/>
  <c r="BJ5" i="5"/>
  <c r="BI5" i="5"/>
  <c r="BH5" i="5"/>
  <c r="BG5" i="5"/>
  <c r="BF5" i="5"/>
  <c r="BE5" i="5"/>
  <c r="BD5" i="5"/>
  <c r="BC5" i="5"/>
  <c r="BB5" i="5"/>
  <c r="BA5" i="5"/>
  <c r="AZ5" i="5"/>
  <c r="AY5" i="5"/>
  <c r="AX5" i="5"/>
  <c r="AW5" i="5"/>
  <c r="AV5" i="5"/>
  <c r="AU5" i="5"/>
  <c r="AT5" i="5"/>
  <c r="AS5" i="5"/>
  <c r="AR5" i="5"/>
  <c r="AQ5" i="5"/>
  <c r="AP5" i="5"/>
  <c r="AO5" i="5"/>
  <c r="AN5" i="5"/>
  <c r="AM5" i="5"/>
  <c r="AL5" i="5"/>
  <c r="AK5" i="5"/>
  <c r="AJ5" i="5"/>
  <c r="AI5" i="5"/>
  <c r="AH5" i="5"/>
  <c r="AG5" i="5"/>
  <c r="AF5" i="5"/>
  <c r="AE5" i="5"/>
  <c r="AD5" i="5"/>
  <c r="AC5" i="5"/>
  <c r="AB5" i="5"/>
  <c r="AA5" i="5"/>
  <c r="Z5" i="5"/>
  <c r="Y5" i="5"/>
  <c r="X5" i="5"/>
  <c r="W5" i="5"/>
  <c r="V5" i="5"/>
  <c r="U5" i="5"/>
  <c r="T5" i="5"/>
  <c r="S5" i="5"/>
  <c r="R5" i="5"/>
  <c r="Q5" i="5"/>
  <c r="P5" i="5"/>
  <c r="O5" i="5"/>
  <c r="N5" i="5"/>
  <c r="M5" i="5"/>
  <c r="L5" i="5"/>
  <c r="K5" i="5"/>
  <c r="J5" i="5"/>
  <c r="I5" i="5"/>
  <c r="H5" i="5"/>
  <c r="G5" i="5"/>
  <c r="F5" i="5"/>
  <c r="E5" i="5"/>
  <c r="D5" i="5"/>
  <c r="C5" i="5"/>
  <c r="B5" i="5"/>
  <c r="A5"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M4" i="5"/>
  <c r="FL4" i="5"/>
  <c r="FK4" i="5"/>
  <c r="FJ4" i="5"/>
  <c r="FI4" i="5"/>
  <c r="FH4" i="5"/>
  <c r="FG4" i="5"/>
  <c r="FF4" i="5"/>
  <c r="FE4" i="5"/>
  <c r="FD4" i="5"/>
  <c r="FC4" i="5"/>
  <c r="FB4" i="5"/>
  <c r="FA4" i="5"/>
  <c r="EZ4" i="5"/>
  <c r="EY4" i="5"/>
  <c r="EX4" i="5"/>
  <c r="EW4" i="5"/>
  <c r="EV4" i="5"/>
  <c r="EU4" i="5"/>
  <c r="ET4" i="5"/>
  <c r="ES4" i="5"/>
  <c r="ER4" i="5"/>
  <c r="EQ4" i="5"/>
  <c r="EP4" i="5"/>
  <c r="EO4" i="5"/>
  <c r="EN4" i="5"/>
  <c r="EM4" i="5"/>
  <c r="EL4" i="5"/>
  <c r="EK4" i="5"/>
  <c r="EJ4" i="5"/>
  <c r="EI4" i="5"/>
  <c r="EH4" i="5"/>
  <c r="EG4" i="5"/>
  <c r="EF4" i="5"/>
  <c r="EE4" i="5"/>
  <c r="ED4" i="5"/>
  <c r="EC4" i="5"/>
  <c r="EB4" i="5"/>
  <c r="EA4" i="5"/>
  <c r="DZ4" i="5"/>
  <c r="DY4" i="5"/>
  <c r="DX4" i="5"/>
  <c r="DW4" i="5"/>
  <c r="DV4" i="5"/>
  <c r="DU4" i="5"/>
  <c r="DT4" i="5"/>
  <c r="DS4" i="5"/>
  <c r="DR4" i="5"/>
  <c r="DQ4" i="5"/>
  <c r="DP4" i="5"/>
  <c r="DO4" i="5"/>
  <c r="DN4" i="5"/>
  <c r="DM4" i="5"/>
  <c r="DL4" i="5"/>
  <c r="DK4" i="5"/>
  <c r="DJ4" i="5"/>
  <c r="DI4" i="5"/>
  <c r="DH4" i="5"/>
  <c r="DG4" i="5"/>
  <c r="DF4" i="5"/>
  <c r="DE4" i="5"/>
  <c r="DD4" i="5"/>
  <c r="DC4" i="5"/>
  <c r="DB4" i="5"/>
  <c r="DA4" i="5"/>
  <c r="CZ4" i="5"/>
  <c r="CY4" i="5"/>
  <c r="CX4" i="5"/>
  <c r="CW4" i="5"/>
  <c r="CV4" i="5"/>
  <c r="CU4" i="5"/>
  <c r="CT4" i="5"/>
  <c r="CS4" i="5"/>
  <c r="CR4" i="5"/>
  <c r="CQ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BF4" i="5"/>
  <c r="BE4" i="5"/>
  <c r="BD4" i="5"/>
  <c r="BC4" i="5"/>
  <c r="BB4" i="5"/>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 r="A4" i="5"/>
  <c r="IV3" i="5"/>
  <c r="IU3" i="5"/>
  <c r="IT3" i="5"/>
  <c r="IS3" i="5"/>
  <c r="IR3" i="5"/>
  <c r="IQ3" i="5"/>
  <c r="IP3" i="5"/>
  <c r="IO3" i="5"/>
  <c r="IN3" i="5"/>
  <c r="IM3" i="5"/>
  <c r="IL3" i="5"/>
  <c r="IK3" i="5"/>
  <c r="IJ3" i="5"/>
  <c r="II3" i="5"/>
  <c r="IH3" i="5"/>
  <c r="IG3" i="5"/>
  <c r="IF3" i="5"/>
  <c r="IE3" i="5"/>
  <c r="ID3" i="5"/>
  <c r="IC3" i="5"/>
  <c r="IB3" i="5"/>
  <c r="IA3" i="5"/>
  <c r="HZ3" i="5"/>
  <c r="HY3" i="5"/>
  <c r="HX3" i="5"/>
  <c r="HW3" i="5"/>
  <c r="HV3" i="5"/>
  <c r="HU3" i="5"/>
  <c r="HT3" i="5"/>
  <c r="HS3" i="5"/>
  <c r="HR3" i="5"/>
  <c r="HQ3" i="5"/>
  <c r="HP3" i="5"/>
  <c r="HO3" i="5"/>
  <c r="HN3" i="5"/>
  <c r="HM3" i="5"/>
  <c r="HL3" i="5"/>
  <c r="HK3" i="5"/>
  <c r="HJ3" i="5"/>
  <c r="HI3" i="5"/>
  <c r="HH3" i="5"/>
  <c r="HG3" i="5"/>
  <c r="HF3" i="5"/>
  <c r="HE3" i="5"/>
  <c r="HD3" i="5"/>
  <c r="HC3" i="5"/>
  <c r="HB3" i="5"/>
  <c r="HA3" i="5"/>
  <c r="GZ3" i="5"/>
  <c r="GY3" i="5"/>
  <c r="GX3" i="5"/>
  <c r="GW3" i="5"/>
  <c r="GV3" i="5"/>
  <c r="GU3" i="5"/>
  <c r="GT3" i="5"/>
  <c r="GS3" i="5"/>
  <c r="GR3" i="5"/>
  <c r="GQ3" i="5"/>
  <c r="GP3" i="5"/>
  <c r="GO3" i="5"/>
  <c r="GN3" i="5"/>
  <c r="GM3" i="5"/>
  <c r="GL3" i="5"/>
  <c r="GK3" i="5"/>
  <c r="GJ3" i="5"/>
  <c r="GI3" i="5"/>
  <c r="GH3" i="5"/>
  <c r="GG3" i="5"/>
  <c r="GF3" i="5"/>
  <c r="GE3" i="5"/>
  <c r="GD3" i="5"/>
  <c r="GC3" i="5"/>
  <c r="GB3" i="5"/>
  <c r="GA3" i="5"/>
  <c r="FZ3" i="5"/>
  <c r="FY3" i="5"/>
  <c r="FX3" i="5"/>
  <c r="FW3" i="5"/>
  <c r="FV3" i="5"/>
  <c r="FU3" i="5"/>
  <c r="FT3" i="5"/>
  <c r="FS3" i="5"/>
  <c r="FR3" i="5"/>
  <c r="FQ3" i="5"/>
  <c r="FP3" i="5"/>
  <c r="FO3" i="5"/>
  <c r="FN3" i="5"/>
  <c r="FM3" i="5"/>
  <c r="FL3" i="5"/>
  <c r="FK3" i="5"/>
  <c r="FJ3" i="5"/>
  <c r="FI3" i="5"/>
  <c r="FH3" i="5"/>
  <c r="FG3" i="5"/>
  <c r="FF3" i="5"/>
  <c r="FE3" i="5"/>
  <c r="FD3" i="5"/>
  <c r="FC3" i="5"/>
  <c r="FB3" i="5"/>
  <c r="FA3" i="5"/>
  <c r="EZ3" i="5"/>
  <c r="EY3" i="5"/>
  <c r="EX3" i="5"/>
  <c r="EW3" i="5"/>
  <c r="EV3" i="5"/>
  <c r="EU3" i="5"/>
  <c r="ET3" i="5"/>
  <c r="ES3" i="5"/>
  <c r="ER3" i="5"/>
  <c r="EQ3" i="5"/>
  <c r="EP3" i="5"/>
  <c r="EO3" i="5"/>
  <c r="EN3" i="5"/>
  <c r="EM3" i="5"/>
  <c r="EL3" i="5"/>
  <c r="EK3" i="5"/>
  <c r="EJ3" i="5"/>
  <c r="EI3" i="5"/>
  <c r="EH3" i="5"/>
  <c r="EG3" i="5"/>
  <c r="EF3" i="5"/>
  <c r="EE3" i="5"/>
  <c r="ED3" i="5"/>
  <c r="EC3" i="5"/>
  <c r="EB3" i="5"/>
  <c r="EA3" i="5"/>
  <c r="DZ3" i="5"/>
  <c r="DY3" i="5"/>
  <c r="DX3" i="5"/>
  <c r="DW3" i="5"/>
  <c r="DV3" i="5"/>
  <c r="DU3" i="5"/>
  <c r="DT3" i="5"/>
  <c r="DS3" i="5"/>
  <c r="DR3" i="5"/>
  <c r="DQ3" i="5"/>
  <c r="DP3" i="5"/>
  <c r="DO3" i="5"/>
  <c r="DN3" i="5"/>
  <c r="DM3" i="5"/>
  <c r="DL3" i="5"/>
  <c r="DK3" i="5"/>
  <c r="DJ3" i="5"/>
  <c r="DI3" i="5"/>
  <c r="DH3" i="5"/>
  <c r="DG3" i="5"/>
  <c r="DF3" i="5"/>
  <c r="DE3" i="5"/>
  <c r="DD3" i="5"/>
  <c r="DC3" i="5"/>
  <c r="DB3" i="5"/>
  <c r="DA3" i="5"/>
  <c r="CZ3" i="5"/>
  <c r="CY3" i="5"/>
  <c r="CX3" i="5"/>
  <c r="CW3" i="5"/>
  <c r="CV3" i="5"/>
  <c r="CU3" i="5"/>
  <c r="CT3" i="5"/>
  <c r="CS3" i="5"/>
  <c r="CR3" i="5"/>
  <c r="CQ3" i="5"/>
  <c r="CP3" i="5"/>
  <c r="CO3" i="5"/>
  <c r="CN3" i="5"/>
  <c r="CM3" i="5"/>
  <c r="CL3" i="5"/>
  <c r="CK3" i="5"/>
  <c r="CJ3" i="5"/>
  <c r="CI3" i="5"/>
  <c r="CH3" i="5"/>
  <c r="CG3" i="5"/>
  <c r="CF3" i="5"/>
  <c r="CE3" i="5"/>
  <c r="CD3" i="5"/>
  <c r="CC3" i="5"/>
  <c r="CB3" i="5"/>
  <c r="CA3" i="5"/>
  <c r="BZ3" i="5"/>
  <c r="BY3" i="5"/>
  <c r="BX3" i="5"/>
  <c r="BW3" i="5"/>
  <c r="BV3" i="5"/>
  <c r="BU3" i="5"/>
  <c r="BT3" i="5"/>
  <c r="BS3" i="5"/>
  <c r="BR3" i="5"/>
  <c r="BQ3" i="5"/>
  <c r="BP3" i="5"/>
  <c r="BO3" i="5"/>
  <c r="BN3" i="5"/>
  <c r="BM3" i="5"/>
  <c r="BL3" i="5"/>
  <c r="BK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AC3" i="5"/>
  <c r="AB3" i="5"/>
  <c r="AA3" i="5"/>
  <c r="Z3" i="5"/>
  <c r="Y3" i="5"/>
  <c r="X3" i="5"/>
  <c r="W3" i="5"/>
  <c r="V3" i="5"/>
  <c r="U3" i="5"/>
  <c r="T3" i="5"/>
  <c r="S3" i="5"/>
  <c r="R3" i="5"/>
  <c r="Q3" i="5"/>
  <c r="P3" i="5"/>
  <c r="O3" i="5"/>
  <c r="N3" i="5"/>
  <c r="M3" i="5"/>
  <c r="L3" i="5"/>
  <c r="K3" i="5"/>
  <c r="J3" i="5"/>
  <c r="I3" i="5"/>
  <c r="H3" i="5"/>
  <c r="G3" i="5"/>
  <c r="F3" i="5"/>
  <c r="E3" i="5"/>
  <c r="D3" i="5"/>
  <c r="C3" i="5"/>
  <c r="B3" i="5"/>
  <c r="A3"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2" i="5"/>
  <c r="IV1" i="5"/>
  <c r="IU1" i="5"/>
  <c r="IT1" i="5"/>
  <c r="IS1" i="5"/>
  <c r="IR1" i="5"/>
  <c r="IQ1" i="5"/>
  <c r="IP1" i="5"/>
  <c r="IO1" i="5"/>
  <c r="IN1" i="5"/>
  <c r="IM1" i="5"/>
  <c r="IL1" i="5"/>
  <c r="IK1" i="5"/>
  <c r="IJ1" i="5"/>
  <c r="II1" i="5"/>
  <c r="IH1" i="5"/>
  <c r="IG1" i="5"/>
  <c r="IF1" i="5"/>
  <c r="IE1" i="5"/>
  <c r="ID1" i="5"/>
  <c r="IC1" i="5"/>
  <c r="IB1" i="5"/>
  <c r="IA1" i="5"/>
  <c r="HZ1" i="5"/>
  <c r="HY1" i="5"/>
  <c r="HX1" i="5"/>
  <c r="HW1" i="5"/>
  <c r="HV1" i="5"/>
  <c r="HU1" i="5"/>
  <c r="HT1" i="5"/>
  <c r="HS1" i="5"/>
  <c r="HR1" i="5"/>
  <c r="HQ1" i="5"/>
  <c r="HP1" i="5"/>
  <c r="HO1" i="5"/>
  <c r="HN1" i="5"/>
  <c r="HM1" i="5"/>
  <c r="HL1" i="5"/>
  <c r="HK1" i="5"/>
  <c r="HJ1" i="5"/>
  <c r="HI1" i="5"/>
  <c r="HH1" i="5"/>
  <c r="HG1" i="5"/>
  <c r="HF1" i="5"/>
  <c r="HE1" i="5"/>
  <c r="HD1" i="5"/>
  <c r="HC1" i="5"/>
  <c r="HB1" i="5"/>
  <c r="HA1" i="5"/>
  <c r="GZ1" i="5"/>
  <c r="GY1" i="5"/>
  <c r="GX1" i="5"/>
  <c r="GW1" i="5"/>
  <c r="GV1" i="5"/>
  <c r="GU1" i="5"/>
  <c r="GT1" i="5"/>
  <c r="GS1" i="5"/>
  <c r="GR1" i="5"/>
  <c r="GQ1" i="5"/>
  <c r="GP1" i="5"/>
  <c r="GO1" i="5"/>
  <c r="GN1" i="5"/>
  <c r="GM1" i="5"/>
  <c r="GL1" i="5"/>
  <c r="GK1" i="5"/>
  <c r="GJ1" i="5"/>
  <c r="GI1" i="5"/>
  <c r="GH1" i="5"/>
  <c r="GG1" i="5"/>
  <c r="GF1" i="5"/>
  <c r="GE1" i="5"/>
  <c r="GD1" i="5"/>
  <c r="GC1" i="5"/>
  <c r="GB1" i="5"/>
  <c r="GA1" i="5"/>
  <c r="FZ1" i="5"/>
  <c r="FY1" i="5"/>
  <c r="FX1" i="5"/>
  <c r="FW1" i="5"/>
  <c r="FV1" i="5"/>
  <c r="FU1" i="5"/>
  <c r="FT1" i="5"/>
  <c r="FS1" i="5"/>
  <c r="FR1" i="5"/>
  <c r="FQ1" i="5"/>
  <c r="FP1" i="5"/>
  <c r="FO1" i="5"/>
  <c r="FN1" i="5"/>
  <c r="FM1" i="5"/>
  <c r="FL1" i="5"/>
  <c r="FK1" i="5"/>
  <c r="FJ1" i="5"/>
  <c r="FI1" i="5"/>
  <c r="FH1" i="5"/>
  <c r="FG1" i="5"/>
  <c r="FF1" i="5"/>
  <c r="FE1" i="5"/>
  <c r="FD1" i="5"/>
  <c r="FC1" i="5"/>
  <c r="FB1" i="5"/>
  <c r="FA1" i="5"/>
  <c r="EZ1" i="5"/>
  <c r="EY1" i="5"/>
  <c r="EX1" i="5"/>
  <c r="EW1" i="5"/>
  <c r="EV1" i="5"/>
  <c r="EU1" i="5"/>
  <c r="ET1" i="5"/>
  <c r="ES1" i="5"/>
  <c r="ER1" i="5"/>
  <c r="EQ1" i="5"/>
  <c r="EP1" i="5"/>
  <c r="EO1" i="5"/>
  <c r="EN1" i="5"/>
  <c r="EM1" i="5"/>
  <c r="EL1" i="5"/>
  <c r="EK1" i="5"/>
  <c r="EJ1" i="5"/>
  <c r="EI1" i="5"/>
  <c r="EH1" i="5"/>
  <c r="EG1" i="5"/>
  <c r="EF1" i="5"/>
  <c r="EE1" i="5"/>
  <c r="ED1" i="5"/>
  <c r="EC1" i="5"/>
  <c r="EB1" i="5"/>
  <c r="EA1" i="5"/>
  <c r="DZ1" i="5"/>
  <c r="DY1" i="5"/>
  <c r="DX1" i="5"/>
  <c r="DW1" i="5"/>
  <c r="DV1" i="5"/>
  <c r="DU1" i="5"/>
  <c r="DT1" i="5"/>
  <c r="DS1" i="5"/>
  <c r="DR1" i="5"/>
  <c r="DQ1" i="5"/>
  <c r="DP1" i="5"/>
  <c r="DO1" i="5"/>
  <c r="DN1" i="5"/>
  <c r="DM1" i="5"/>
  <c r="DL1" i="5"/>
  <c r="DK1" i="5"/>
  <c r="DJ1" i="5"/>
  <c r="DI1" i="5"/>
  <c r="DH1" i="5"/>
  <c r="DG1" i="5"/>
  <c r="DF1" i="5"/>
  <c r="DE1" i="5"/>
  <c r="DD1" i="5"/>
  <c r="DC1" i="5"/>
  <c r="DB1" i="5"/>
  <c r="DA1" i="5"/>
  <c r="CZ1" i="5"/>
  <c r="CY1" i="5"/>
  <c r="CX1" i="5"/>
  <c r="CW1" i="5"/>
  <c r="CV1" i="5"/>
  <c r="CU1" i="5"/>
  <c r="CT1" i="5"/>
  <c r="CS1" i="5"/>
  <c r="CR1" i="5"/>
  <c r="CQ1" i="5"/>
  <c r="CP1" i="5"/>
  <c r="CO1" i="5"/>
  <c r="CN1" i="5"/>
  <c r="CM1" i="5"/>
  <c r="CL1" i="5"/>
  <c r="CK1" i="5"/>
  <c r="CJ1" i="5"/>
  <c r="CI1" i="5"/>
  <c r="CH1" i="5"/>
  <c r="CG1" i="5"/>
  <c r="CF1" i="5"/>
  <c r="CE1" i="5"/>
  <c r="CD1" i="5"/>
  <c r="CC1" i="5"/>
  <c r="CB1" i="5"/>
  <c r="CA1" i="5"/>
  <c r="BZ1" i="5"/>
  <c r="BY1" i="5"/>
  <c r="BX1" i="5"/>
  <c r="BW1" i="5"/>
  <c r="BV1" i="5"/>
  <c r="BU1" i="5"/>
  <c r="BT1" i="5"/>
  <c r="BS1" i="5"/>
  <c r="BR1" i="5"/>
  <c r="BQ1" i="5"/>
  <c r="BP1" i="5"/>
  <c r="BO1" i="5"/>
  <c r="BN1" i="5"/>
  <c r="BM1" i="5"/>
  <c r="BL1" i="5"/>
  <c r="BK1" i="5"/>
  <c r="BJ1" i="5"/>
  <c r="BI1" i="5"/>
  <c r="BH1" i="5"/>
  <c r="BG1" i="5"/>
  <c r="BF1" i="5"/>
  <c r="BE1" i="5"/>
  <c r="BD1" i="5"/>
  <c r="BC1" i="5"/>
  <c r="BB1" i="5"/>
  <c r="BA1" i="5"/>
  <c r="AZ1" i="5"/>
  <c r="AY1" i="5"/>
  <c r="AX1" i="5"/>
  <c r="AW1" i="5"/>
  <c r="AV1" i="5"/>
  <c r="AU1" i="5"/>
  <c r="AT1" i="5"/>
  <c r="AS1" i="5"/>
  <c r="AR1" i="5"/>
  <c r="AQ1" i="5"/>
  <c r="AP1" i="5"/>
  <c r="AO1" i="5"/>
  <c r="AN1" i="5"/>
  <c r="AM1" i="5"/>
  <c r="AL1" i="5"/>
  <c r="AK1" i="5"/>
  <c r="AJ1" i="5"/>
  <c r="AI1" i="5"/>
  <c r="AH1" i="5"/>
  <c r="AG1" i="5"/>
  <c r="AF1" i="5"/>
  <c r="AE1" i="5"/>
  <c r="AD1" i="5"/>
  <c r="AC1" i="5"/>
  <c r="AB1" i="5"/>
  <c r="AA1" i="5"/>
  <c r="Z1" i="5"/>
  <c r="Y1" i="5"/>
  <c r="X1" i="5"/>
  <c r="W1" i="5"/>
  <c r="V1" i="5"/>
  <c r="U1" i="5"/>
  <c r="T1" i="5"/>
  <c r="S1" i="5"/>
  <c r="R1" i="5"/>
  <c r="Q1" i="5"/>
  <c r="P1" i="5"/>
  <c r="O1" i="5"/>
  <c r="N1" i="5"/>
  <c r="M1" i="5"/>
  <c r="L1" i="5"/>
  <c r="K1" i="5"/>
  <c r="J1" i="5"/>
  <c r="I1" i="5"/>
  <c r="H1" i="5"/>
  <c r="G1" i="5"/>
  <c r="F1" i="5"/>
  <c r="E1" i="5"/>
  <c r="D1" i="5"/>
  <c r="C1" i="5"/>
  <c r="B1" i="5"/>
  <c r="A1" i="5"/>
</calcChain>
</file>

<file path=xl/sharedStrings.xml><?xml version="1.0" encoding="utf-8"?>
<sst xmlns="http://schemas.openxmlformats.org/spreadsheetml/2006/main" count="832" uniqueCount="593">
  <si>
    <t>Notifications</t>
  </si>
  <si>
    <t xml:space="preserve">Auto reminders via e-mail </t>
  </si>
  <si>
    <t>(GMT+06:30) Rangoon</t>
  </si>
  <si>
    <t>(GMT+07:00) Bangkok, Hanoi, Jakarta</t>
  </si>
  <si>
    <t>(GMT+07:00) Krasnoyarsk</t>
  </si>
  <si>
    <t>(GMT+08:00) Beijing, Chongqing, Hong Kong, Urumqi</t>
  </si>
  <si>
    <t>(GMT+08:00) Irkutsk, Ulaan Bataar</t>
  </si>
  <si>
    <t>(GMT+08:00) Kuala Lumpur, Singapore</t>
  </si>
  <si>
    <t>(GMT+11:00) Magadan, Solomon Is., New Caledonia</t>
  </si>
  <si>
    <t>(GMT+13:00) Nuku'alofa</t>
  </si>
  <si>
    <t>(GMT+03:00) Kuwait, Riyadh, Baghdad</t>
  </si>
  <si>
    <t>(GMT+03:00) Moscow, St. Petersburg, Volgograd, Nairobi</t>
  </si>
  <si>
    <t>(GMT+04:00) Abu Dhabi, Muscat,Baku, Tbilisi, Yerevan</t>
  </si>
  <si>
    <t>(GMT+01:00) Belgrade, Bratislava, Budapest, Ljubljana, Prague,  West Central Africa</t>
  </si>
  <si>
    <t>(GMT+02:00) Athens, Beirut, Istanbul, Minsk, Cairo</t>
  </si>
  <si>
    <t>(GMT+06:00) Almaty, Novosibirsk, Astana, Dhaka</t>
  </si>
  <si>
    <t>(GMT+08:00) Perth, Taipei</t>
  </si>
  <si>
    <t>(GMT+12:00) Auckland, Wellington, Fiji, Kamchatka, Marshall Is.</t>
  </si>
  <si>
    <t>(GMT+10:00) Guam, Port Moresby, Hobart, Canberra, Melbourne, Sydney</t>
  </si>
  <si>
    <t>(GMT+09:30) Adelaide, Darwin</t>
  </si>
  <si>
    <t>(GMT+09:00) Osaka, Sapporo, Tokyo, Seoul</t>
  </si>
  <si>
    <t>(GMT+05:00) Islamabad, Karachi, Tashkent, Ekaterinburg</t>
  </si>
  <si>
    <t>(GMT-07:00) Chihuahua, La Paz, Mazatlan, Arizona</t>
  </si>
  <si>
    <t>(GMT-06:00) Central</t>
  </si>
  <si>
    <t>(GMT-03:00) Brasilia, Greenland</t>
  </si>
  <si>
    <t>Non-Profit</t>
  </si>
  <si>
    <t>Association</t>
  </si>
  <si>
    <t>Corporation</t>
  </si>
  <si>
    <t>Government Organization</t>
  </si>
  <si>
    <t>Educational Institution</t>
  </si>
  <si>
    <t xml:space="preserve">Easy to use </t>
  </si>
  <si>
    <t>Visually Clean (Modern)</t>
  </si>
  <si>
    <t xml:space="preserve">Skill gap analysis </t>
  </si>
  <si>
    <t xml:space="preserve">360 feedback </t>
  </si>
  <si>
    <t xml:space="preserve">Ad-hoc </t>
  </si>
  <si>
    <t>Ability to add filters to view reports on screen</t>
  </si>
  <si>
    <t>Export data as .tab delaminated - .xls, html, csv, pdf</t>
  </si>
  <si>
    <t>Multi-Tenant (multiple Portals)</t>
  </si>
  <si>
    <t xml:space="preserve">Ability to skin/brand each tenant/portal </t>
  </si>
  <si>
    <t>Multiple custom domains</t>
  </si>
  <si>
    <t>Other Features (Part 2)</t>
  </si>
  <si>
    <t>(GMT-12:00) International Date Line West</t>
  </si>
  <si>
    <t>(GMT-11:00) Midway Island, Samoa</t>
  </si>
  <si>
    <t>(GMT-10:00) Hawaii</t>
  </si>
  <si>
    <t>(GMT-09:00) Alaska</t>
  </si>
  <si>
    <t>(GMT-08:00) Pacific Time (US &amp; Canada); Tijuana</t>
  </si>
  <si>
    <t>(GMT-07:00) Mountain Time (US &amp; Canada)</t>
  </si>
  <si>
    <t>(GMT-05:00) Bogota, Lima, Quito</t>
  </si>
  <si>
    <t>(GMT-05:00) Eastern Time (US &amp; Canada)</t>
  </si>
  <si>
    <t>(GMT-04:00) Atlantic Time (Canada)</t>
  </si>
  <si>
    <t>(GMT-04:00) Caracas, La Paz</t>
  </si>
  <si>
    <t>(GMT-03:30) Newfoundland</t>
  </si>
  <si>
    <t>(GMT-02:00) Mid-Atlantic</t>
  </si>
  <si>
    <t>(GMT-01:00) Cape Verde Is.</t>
  </si>
  <si>
    <t>(GMT) Greenwich Mean Time: Dublin, Edinburgh, Lisbon, London</t>
  </si>
  <si>
    <t>(GMT+03:30) Tehran</t>
  </si>
  <si>
    <t>(GMT+04:30) Kabul</t>
  </si>
  <si>
    <t>(GMT+05:30) Chennai, Kolkata, Mumbai, New Delhi</t>
  </si>
  <si>
    <t>(GMT+05:45) Kathmandu</t>
  </si>
  <si>
    <t>Administrator</t>
  </si>
  <si>
    <t>Assign users to groups, can assign X number to X number of courses, Y to a different number of courses or course</t>
  </si>
  <si>
    <t>Learning plan can be assigned by job role, region, department</t>
  </si>
  <si>
    <t>Batch upload of learners</t>
  </si>
  <si>
    <t>Manager Area</t>
  </si>
  <si>
    <t>Instructor Area</t>
  </si>
  <si>
    <t xml:space="preserve">Mobile </t>
  </si>
  <si>
    <t>Learning Record Store (LRS)</t>
  </si>
  <si>
    <t xml:space="preserve">Built in assessment/survey tool </t>
  </si>
  <si>
    <t>Question types (M/C, T/F)</t>
  </si>
  <si>
    <t>Multiple Answers</t>
  </si>
  <si>
    <t xml:space="preserve">Essay </t>
  </si>
  <si>
    <t>Quiz can be audio/video/image based</t>
  </si>
  <si>
    <t xml:space="preserve">Questions can be randomized </t>
  </si>
  <si>
    <t xml:space="preserve">Quiz bank </t>
  </si>
  <si>
    <t>Can leave comments/responses when learner answers correctly or incorrectly</t>
  </si>
  <si>
    <t>Limit the number of times assessment can be launched</t>
  </si>
  <si>
    <t xml:space="preserve">Ability to weight and grade individual questions within an assessment </t>
  </si>
  <si>
    <t>Timed Questions/Assessments</t>
  </si>
  <si>
    <t xml:space="preserve">Languages </t>
  </si>
  <si>
    <t>English</t>
  </si>
  <si>
    <t>Latin American Spanish</t>
  </si>
  <si>
    <t xml:space="preserve">Spanish </t>
  </si>
  <si>
    <t>German</t>
  </si>
  <si>
    <t xml:space="preserve">French </t>
  </si>
  <si>
    <t>French (Canadian)</t>
  </si>
  <si>
    <t xml:space="preserve">Dutch </t>
  </si>
  <si>
    <t xml:space="preserve">Portuguese </t>
  </si>
  <si>
    <t>Portuguese (Brazil)</t>
  </si>
  <si>
    <t>Multibyte (Chinese, Japanese, Korean)</t>
  </si>
  <si>
    <t>Russian</t>
  </si>
  <si>
    <t xml:space="preserve">Arabic </t>
  </si>
  <si>
    <t xml:space="preserve">User Interface </t>
  </si>
  <si>
    <t>Event Management</t>
  </si>
  <si>
    <t xml:space="preserve">Calendar </t>
  </si>
  <si>
    <t>Calendar viewable on learner home page</t>
  </si>
  <si>
    <t>Waitlist</t>
  </si>
  <si>
    <t xml:space="preserve">Waitlist: Learner drop out, next learner is auto registered and notified via e-mail </t>
  </si>
  <si>
    <t>Learners can click on calendar and see seminars/webinars/etc.</t>
  </si>
  <si>
    <t>Learners can click on calendar, see event and register directly</t>
  </si>
  <si>
    <t>Upon registration of courses, events (webinars/seminars, etc.)</t>
  </si>
  <si>
    <t>Automatic and customizable email notifications</t>
  </si>
  <si>
    <t>E-mail templates</t>
  </si>
  <si>
    <t xml:space="preserve">Social </t>
  </si>
  <si>
    <t>Learners rank/rate content</t>
  </si>
  <si>
    <t>Learner comments (comment on content, etc.)</t>
  </si>
  <si>
    <t xml:space="preserve">Create communities across system </t>
  </si>
  <si>
    <t xml:space="preserve">Create communities tied to groups </t>
  </si>
  <si>
    <t>Forum/Discussion board</t>
  </si>
  <si>
    <t>Allow self-registration/account creation by external clients (non-learners e.g. partners, customers etc.)</t>
  </si>
  <si>
    <t>Accept AMEX/Discover</t>
  </si>
  <si>
    <t>Generate invoices</t>
  </si>
  <si>
    <t>Promo codes/Discount codes</t>
  </si>
  <si>
    <t xml:space="preserve">Multi-Currencies </t>
  </si>
  <si>
    <t>Report: Track sales</t>
  </si>
  <si>
    <t>Individualized learning plan, course catalog seen on same screen</t>
  </si>
  <si>
    <t>Courses have standard attributes regardless of delivery mechanism including:
- Title
- Description
- Length/duration
- Prerequisites (if applicable)</t>
  </si>
  <si>
    <t>Support for multiple catalogs</t>
  </si>
  <si>
    <t>Transcripts (viewable by learners)</t>
  </si>
  <si>
    <t xml:space="preserve">Learners can view entire catalog and select own courses </t>
  </si>
  <si>
    <t xml:space="preserve">Learners can be assigned materials, videos, etc. </t>
  </si>
  <si>
    <t>Learners can download materials, etc.</t>
  </si>
  <si>
    <t>Print out sign-in sheets</t>
  </si>
  <si>
    <t>Other (please define)</t>
  </si>
  <si>
    <t>SCORM</t>
  </si>
  <si>
    <t>SCORM 1.2</t>
  </si>
  <si>
    <t>SCORM 2004</t>
  </si>
  <si>
    <t>AICC</t>
  </si>
  <si>
    <t xml:space="preserve">Gamification </t>
  </si>
  <si>
    <t>Leaderboard</t>
  </si>
  <si>
    <t>Incentive/Reward Points</t>
  </si>
  <si>
    <t>Acquire Badges</t>
  </si>
  <si>
    <t>Leaderboard appears on home page of end user</t>
  </si>
  <si>
    <t xml:space="preserve">General </t>
  </si>
  <si>
    <t xml:space="preserve">Custom domain </t>
  </si>
  <si>
    <t xml:space="preserve">Skinned - choose your own colors </t>
  </si>
  <si>
    <t>Add your own logo</t>
  </si>
  <si>
    <t>Change labels, tabs</t>
  </si>
  <si>
    <t xml:space="preserve">Self-registration </t>
  </si>
  <si>
    <t>Forget password (auto e-mail sent to learner to create new password)</t>
  </si>
  <si>
    <t>Personalize home page</t>
  </si>
  <si>
    <t>Announcements/News</t>
  </si>
  <si>
    <t>Track CEUs</t>
  </si>
  <si>
    <t xml:space="preserve">Single Sign On </t>
  </si>
  <si>
    <t>Control profile settings by field (e.g., allow learners to change email addresses but not change user name)</t>
  </si>
  <si>
    <t>Allow instructors access to course enrollment information</t>
  </si>
  <si>
    <t>Allow instructors ability to print rosters, send emails to participants and update course attendance post class</t>
  </si>
  <si>
    <t>Automate surveying of students with customizable course surveys delivered by email</t>
  </si>
  <si>
    <t>AAAAAB899xc=</t>
  </si>
  <si>
    <t>Ability to schedule and email reports</t>
  </si>
  <si>
    <t>Custom fields are reportable</t>
  </si>
  <si>
    <t xml:space="preserve">Manager can manage training of indirect or virtual reports </t>
  </si>
  <si>
    <t>Manager can to see their team in a manager dashboard or view</t>
  </si>
  <si>
    <t>Allow administrator and/or tech team to load learner learning history via batch import (excel template)</t>
  </si>
  <si>
    <t>Manager can assign training to team and/or individuals</t>
  </si>
  <si>
    <t>Manager can update on the job training, mark training complete</t>
  </si>
  <si>
    <t>Ability to manage chargebacks</t>
  </si>
  <si>
    <t>Assign and enforce access based on user profile</t>
  </si>
  <si>
    <t>E-Commerce</t>
  </si>
  <si>
    <t>Allow administrators to set multiple levels of approval (e.g., no approval needed, supervisor approval, instructor approval, etc.)</t>
  </si>
  <si>
    <t xml:space="preserve">Learning Environment </t>
  </si>
  <si>
    <t>Defined capacity (minimum and maximum seats)</t>
  </si>
  <si>
    <t>Repeatable creation of events based off a standard course template (e.g. number of days, min/max seats, title, description)</t>
  </si>
  <si>
    <t>Learners can enroll or request enrollment in course or cancel their enrollment</t>
  </si>
  <si>
    <t>Learners can review their learning history/completed work</t>
  </si>
  <si>
    <t>Capture resources (e.g., Instructors, rooms, materials) for both classroom-based and online courses</t>
  </si>
  <si>
    <t>Allow administrators to create, modify and cancel a course</t>
  </si>
  <si>
    <t>Automatically perform conflict checking for resources (e.g. instructors, rooms)</t>
  </si>
  <si>
    <t>Allow administrators to view all class offerings of a course</t>
  </si>
  <si>
    <t>Allow administrators to track attendance status (e.g., no show, cancelled, attended) of all types of training (e.g. instructor led, online, virtual)</t>
  </si>
  <si>
    <t>Generate and manage course evaluations upon completion of all types of learning (e.g., instructor led, online, virtual), including automatically sending a course evaluation form to participant a set number of days after course</t>
  </si>
  <si>
    <t>Provide multiple levels of administrative access and privileges</t>
  </si>
  <si>
    <t>Allow administrators to create and assign system roles</t>
  </si>
  <si>
    <t>Capture multiple user attributes (e.g. Organization, department, Manager, Job role, etc.)</t>
  </si>
  <si>
    <t>Create user groups through defined attributes (e.g. organization, departments, country, etc.)</t>
  </si>
  <si>
    <t>Embed YouTube videos</t>
  </si>
  <si>
    <t>Embed videos from other sites such as Vimeo</t>
  </si>
  <si>
    <t>Assessment/Survey</t>
  </si>
  <si>
    <t>Hindi (India)</t>
  </si>
  <si>
    <t>Administrator creates order</t>
  </si>
  <si>
    <t xml:space="preserve">Manager can view user/learner profiles </t>
  </si>
  <si>
    <t>Manager can add/reject/update/approve learners/users</t>
  </si>
  <si>
    <t>Instructor can update rosters</t>
  </si>
  <si>
    <t>Instructor can push survey/assessment during active class</t>
  </si>
  <si>
    <t>Learners can purchase courses</t>
  </si>
  <si>
    <t>Learners can purchase events (webinars/seminars)</t>
  </si>
  <si>
    <t>Learners can purchase subscription package (whatever you want to include - similar to bundle)</t>
  </si>
  <si>
    <t xml:space="preserve">Integration </t>
  </si>
  <si>
    <t>When learners register for an event it appears via iCal in Outlook, Gmail and other Internet e-mail platforms</t>
  </si>
  <si>
    <t>SSL - such as Verisign</t>
  </si>
  <si>
    <t>Accept purchase orders</t>
  </si>
  <si>
    <t>Ability to report on question level data from surveys and assessments/tests</t>
  </si>
  <si>
    <t xml:space="preserve">Create Profile includes options such as job title, org/dept., contact info, social media connections </t>
  </si>
  <si>
    <t>API integration to other social media sites</t>
  </si>
  <si>
    <t>Administrator dashboard</t>
  </si>
  <si>
    <t>Can view and take assessments/surveys within native app</t>
  </si>
  <si>
    <t>Can be viewed on any mobile device via browser</t>
  </si>
  <si>
    <t>Mobile responsive</t>
  </si>
  <si>
    <t>Matching</t>
  </si>
  <si>
    <t>Export data to a 3rd party database</t>
  </si>
  <si>
    <t>256 AES security or higher</t>
  </si>
  <si>
    <t>Certificates</t>
  </si>
  <si>
    <t>Ability to edit Certificate(s)</t>
  </si>
  <si>
    <t>Ability to upload your own Certificate(s)</t>
  </si>
  <si>
    <t>Certificate Templates</t>
  </si>
  <si>
    <t>Ability to e-mail certificates to learners</t>
  </si>
  <si>
    <t xml:space="preserve">Compliance and Regulatory </t>
  </si>
  <si>
    <t>Course Standards</t>
  </si>
  <si>
    <t xml:space="preserve">Audit Trail </t>
  </si>
  <si>
    <t>Auditable compliance reports</t>
  </si>
  <si>
    <t>Document Management System built-in; includes forms, workflow documents/materials, etc.</t>
  </si>
  <si>
    <t>Reporting on KPIs in a manner that regulatory bodies require</t>
  </si>
  <si>
    <t>Digital/Electronic signature within system (Conforms to the Electronic Signatures Regulations 2002 and the 1999/93/EC EU Directive)</t>
  </si>
  <si>
    <t xml:space="preserve">Automation of training for SOPs and policies </t>
  </si>
  <si>
    <t xml:space="preserve">SEO features such as Google Analytics </t>
  </si>
  <si>
    <t>xAPI</t>
  </si>
  <si>
    <t xml:space="preserve">Curriculum can set by courses, content, etc. </t>
  </si>
  <si>
    <t>Learner home dashboard (this means that when the learner enters the system, they see a home dashboard that contains high level information, including their current courses)</t>
  </si>
  <si>
    <t>Ability to drill-down on analytics for more information (Example: system shows total number of courses completed, administrator clicks on the graph and can drill down for addl info/data)</t>
  </si>
  <si>
    <t>Chat room</t>
  </si>
  <si>
    <t>Accept Visa/MasterCard</t>
  </si>
  <si>
    <t>Learner progress bar or similar</t>
  </si>
  <si>
    <t>Features</t>
  </si>
  <si>
    <t xml:space="preserve">Tracking of On-The-Job, Continuing Professional Development (CPD) and other informal training activities </t>
  </si>
  <si>
    <t xml:space="preserve">HTML editor </t>
  </si>
  <si>
    <t xml:space="preserve">CSS editor </t>
  </si>
  <si>
    <t xml:space="preserve">Follow/Unfollow (Profiles/users) </t>
  </si>
  <si>
    <t>Discussions can be moderated</t>
  </si>
  <si>
    <t>Accept PayPal</t>
  </si>
  <si>
    <t>Out of the box integration with payment processor (i.e.  Authorize.net, cybersecure, pay metric, etc.)</t>
  </si>
  <si>
    <t>Administrator can limit access to catalog items based on user profile (i.e. job role, location, customer, partner, etc.)</t>
  </si>
  <si>
    <t>Available in iTunes Store (iOS)</t>
  </si>
  <si>
    <t>Available in Google Play (Android)</t>
  </si>
  <si>
    <t>SAP</t>
  </si>
  <si>
    <t>PeopleSoft</t>
  </si>
  <si>
    <t>Workday</t>
  </si>
  <si>
    <t>Another HRIS platform</t>
  </si>
  <si>
    <t xml:space="preserve">Another ERP platform  </t>
  </si>
  <si>
    <t xml:space="preserve">ADP </t>
  </si>
  <si>
    <t xml:space="preserve">Salesforce.com  </t>
  </si>
  <si>
    <t>SharePoint</t>
  </si>
  <si>
    <t>Oracle</t>
  </si>
  <si>
    <t>Online/offline synchronization (vendor - what data can be pushed back into the LMS - i.e. course data, etc.)</t>
  </si>
  <si>
    <t>Sandbox (after go-live)  (Is it free or fee?  Please indicate in Comments)</t>
  </si>
  <si>
    <t>Support for the hierarchy at the enterprise, business unit or other desired levels</t>
  </si>
  <si>
    <t>Search functionality allowing learners to find specific courses, materials, delivery format, based on keywords, title, delivery format, and other tagged identifiers</t>
  </si>
  <si>
    <t>Different calendar views available (List, Grid, etc.)</t>
  </si>
  <si>
    <t xml:space="preserve">Ability to view calendar by date, week or month </t>
  </si>
  <si>
    <t xml:space="preserve">Ability to award a certificate, once course/content is completed </t>
  </si>
  <si>
    <t>E-mail notifications when a required course/content is about to expire</t>
  </si>
  <si>
    <t>Netflix like experience (UI and UX)</t>
  </si>
  <si>
    <t xml:space="preserve">Goal Management </t>
  </si>
  <si>
    <t>Manager can monitor learning paths for each team member</t>
  </si>
  <si>
    <t>Can create KPIs (reporting on them)</t>
  </si>
  <si>
    <t xml:space="preserve">Individualized learning plan  (including required courses and optional courses selected), to-do list or similar appear on the same screen </t>
  </si>
  <si>
    <t xml:space="preserve">Customizable home page that is a different look/appearance/theme based on the learner who logged into the system </t>
  </si>
  <si>
    <t xml:space="preserve">System shows content via Channels or Playlists </t>
  </si>
  <si>
    <t>Manager features within native app</t>
  </si>
  <si>
    <t xml:space="preserve">Instructor features within native app </t>
  </si>
  <si>
    <t>Other (not listed)</t>
  </si>
  <si>
    <t>Mastery learning (whereas learner is provided a to-do list and must complete either by day, week, month(s))</t>
  </si>
  <si>
    <t xml:space="preserve">Business Intelligence Integration </t>
  </si>
  <si>
    <t xml:space="preserve">OPEN REST API </t>
  </si>
  <si>
    <t>Comes with native app for mobile devices</t>
  </si>
  <si>
    <t>Slack</t>
  </si>
  <si>
    <t xml:space="preserve">Offers/Includes VAT </t>
  </si>
  <si>
    <t xml:space="preserve">Analytical Data and Reporting </t>
  </si>
  <si>
    <t>Supports GDPR</t>
  </si>
  <si>
    <t>Link to a career development framework and match  skills, job level, and job role to available courses</t>
  </si>
  <si>
    <t>Learner tracking data (by content, learning path, etc.)</t>
  </si>
  <si>
    <t xml:space="preserve">Recommended content playlist </t>
  </si>
  <si>
    <t xml:space="preserve">Trending or Most Popular playlist </t>
  </si>
  <si>
    <t xml:space="preserve">Learner currently taking playlist </t>
  </si>
  <si>
    <t xml:space="preserve">Assigned learning playlist </t>
  </si>
  <si>
    <t xml:space="preserve">Playlists/Channels </t>
  </si>
  <si>
    <t>Skills tied to job roles/job profiles, which can be used to submit to jobs within the company (if applicable/available as part of the system)</t>
  </si>
  <si>
    <t>Ability for development paths or curriculum/learning paths to have contents placed in a specific order/hierarchy of learning</t>
  </si>
  <si>
    <t>vILT</t>
  </si>
  <si>
    <t>Each tenant can upload their own end users, content (if allowed by Parent)</t>
  </si>
  <si>
    <t>Data generated for each tenant viewable on Analytical Data/Reports screens on Parent (Overall with drill down for each tenant)</t>
  </si>
  <si>
    <t>Schedule Virtual Learning Training Sessions</t>
  </si>
  <si>
    <t>Instructor can generate surveys/polls while session is live</t>
  </si>
  <si>
    <t>Instructor can verify learners in attendance, and those who did not login</t>
  </si>
  <si>
    <t>System allows for pay or free options to attend the session</t>
  </si>
  <si>
    <t>Schedule multiple sessions ahead of time (day, week, month)</t>
  </si>
  <si>
    <t xml:space="preserve">Show Content (PPT, Video, other) during session </t>
  </si>
  <si>
    <t xml:space="preserve">Learners can share content with other learners (P2P), during or after the session </t>
  </si>
  <si>
    <t xml:space="preserve">Session is automatically recorded and stored in the system for future access as content that is viewable to learners </t>
  </si>
  <si>
    <t xml:space="preserve">Assign CEUs/CPD  to any type of content </t>
  </si>
  <si>
    <t>Schedule notifications (hourly, daily, weekly, monthly)</t>
  </si>
  <si>
    <t xml:space="preserve">Auto notification when CEU/CPD needs to be completed, before expiration </t>
  </si>
  <si>
    <t>Microsoft Teams</t>
  </si>
  <si>
    <t>Connector to Microsoft Teams (client only needs to know their user name and password for access into MS Teams)</t>
  </si>
  <si>
    <t>View content by end-users (any type)</t>
  </si>
  <si>
    <t>Ability to stay in MS teams, take/complete any type of content, surveys, assessments, and never have to login to the learning system (Data is automatically pushed into the learning system)</t>
  </si>
  <si>
    <t>Ability to connect MS Teams learner data into any 3rd party HCM/HRIS/Talent Mgt (Push data in, pull data from these systems back into MS Teams)</t>
  </si>
  <si>
    <t>Administrator can create job roles, job titles, edit and delete</t>
  </si>
  <si>
    <t>Administrator can create skills - needed, requested and assign to learner, learners or in general in the system</t>
  </si>
  <si>
    <t>Administrator can compare learner to learner based on skill(s), tied to role</t>
  </si>
  <si>
    <t>Search by Ratings (example: Five star content)</t>
  </si>
  <si>
    <t>Search by type of content (Duration, Video, eBook, etc.)</t>
  </si>
  <si>
    <t>Search by content related to a specific or set of skills/interests (Example: Leadership)</t>
  </si>
  <si>
    <t xml:space="preserve">Skills tied to opportunities (openings or for example, specific limited opportunities such as a project manager for an upcoming project) in the company/organization </t>
  </si>
  <si>
    <t>Analytics directly tied to career development and acquisition of skills to specific job roles</t>
  </si>
  <si>
    <t>System can use job roles to identify and present recommended or suggested content (constantly updated)</t>
  </si>
  <si>
    <t>System can use interests or skills to identify and present recommended or suggested content (constantly updated)</t>
  </si>
  <si>
    <t xml:space="preserve">Content playlist tied directly to job role opportunities that end-user might be qualified or have an interest in such an opportunity </t>
  </si>
  <si>
    <t>Can limit number of learners/attendees to session (Achieved by 3rd party Web Conferencing tool)</t>
  </si>
  <si>
    <t>Assign points by group, groups, etc.</t>
  </si>
  <si>
    <t>Enrollment rules to auto assign content/courses to employees</t>
  </si>
  <si>
    <t xml:space="preserve">Create communities tied to a specific course or piece of content </t>
  </si>
  <si>
    <t>Instructor can scan badge codes/or codes (QR) of individuals entering the class (for verification purposes)  (Mobile)</t>
  </si>
  <si>
    <t xml:space="preserve">Built-in Help </t>
  </si>
  <si>
    <t>Mimics the learning system, within the end-user appearance on MS Teams. Example:  (shows playlists, etc.) (Rare, but if the vendor offers it "YES")</t>
  </si>
  <si>
    <t xml:space="preserve">Skills mapping to career development path </t>
  </si>
  <si>
    <t xml:space="preserve">Skills mapped to content for career path </t>
  </si>
  <si>
    <t xml:space="preserve">Content tied exclusively to job roles/job level </t>
  </si>
  <si>
    <t>Performance Reviews wrapped around the content and skill acquisition within the system </t>
  </si>
  <si>
    <t>Leadership development wrapped around the content playlist and tied to analytics to validate potential as future leader (tied to skills)</t>
  </si>
  <si>
    <t>Succession Planning tied to a set of content playlists/content and metrics that can identify potential candidates over a period of time</t>
  </si>
  <si>
    <t xml:space="preserve"> Create assessments tied to the content and skills for the job role, and measure over a period of time to others in a similar role or job level</t>
  </si>
  <si>
    <t>Analytics tied to playlists based on requirements for job opportunities within the company, with skill success to each piece of content, ability to identify challenges, applicant (current employee) must overcome</t>
  </si>
  <si>
    <t xml:space="preserve">Workforce Development </t>
  </si>
  <si>
    <t xml:space="preserve">Courses have standard attributes regardless of delivery mechanism including:
- Skill Level (Beginner, Intermediate, Advanced)
- Specific Skills and any Prerequisites </t>
  </si>
  <si>
    <t>Curriculum can set by skills, interests, job roles matched to skill or skills</t>
  </si>
  <si>
    <t>Learner home dashboard lists the most popular or highest rated skills (either by client or the entire system itself) - This means that you see a listing of top skills just by your employees in your company AND/OR you see the top skills for everyone who is on the system, regardless if they are your learners or not.</t>
  </si>
  <si>
    <t>Skill Taxonomies</t>
  </si>
  <si>
    <t>Ability to upload your own Skills Library (or skills categories)</t>
  </si>
  <si>
    <t>System allows you to add/edit/delete skills within the system's skill library</t>
  </si>
  <si>
    <t>Ability to add your own Skills Taxonomy (might list as competencies, but is tied around skill building/development)</t>
  </si>
  <si>
    <t>System comes with a skill mapping tied to career pathway or job role pathway</t>
  </si>
  <si>
    <t xml:space="preserve">System shows skill content playlists, whereas the learner can subscribe to, and receive immediate access </t>
  </si>
  <si>
    <t xml:space="preserve">Trending or Most Popular playlist based on skill or skills </t>
  </si>
  <si>
    <t xml:space="preserve">Recommended content playlist based on skill(s) or interests </t>
  </si>
  <si>
    <t>Learner interests/skills playlist (Assigned by manager, etc.)</t>
  </si>
  <si>
    <t xml:space="preserve">Learners can add their own skills/interests related content to the playlist </t>
  </si>
  <si>
    <t xml:space="preserve">Manager can create playlists based on skills they recommend for their team (individual employee, learner, etc.) </t>
  </si>
  <si>
    <t>Ability to capture external training (non-company specific) data  (for vILT and/or ILT)</t>
  </si>
  <si>
    <t xml:space="preserve">vILT or ILT sessions show the skill(s), interests in their listing.  </t>
  </si>
  <si>
    <t xml:space="preserve">Learner can search for vILT or ILT sessions/events by skill or skills or interests </t>
  </si>
  <si>
    <t>vILT or ILT sessions are identified by skill tags</t>
  </si>
  <si>
    <t xml:space="preserve">Session can contain information such as job role, career mapping tied around skill or set of skills, along with any other skill information </t>
  </si>
  <si>
    <t xml:space="preserve">Administrator can limit access to catalog items based on skill profile or skill proficiency </t>
  </si>
  <si>
    <t>Administrator can assign specific skill or skills to a learner (to learn, develop, build, etc.)</t>
  </si>
  <si>
    <t xml:space="preserve">Administrator dashboard shows information around skills - (Skill proficiency  levels, top skills sought out by learners, Most Popular content tied to a skill or skills,  Least popular skill or skills, least popular content by skill, skill comparison data) </t>
  </si>
  <si>
    <t xml:space="preserve">Manager can see the skill(s) for each employee in their team/department </t>
  </si>
  <si>
    <t xml:space="preserve">Manager can assign content around specific skill(s) or interests to an employee in their team or the entire team/division </t>
  </si>
  <si>
    <t xml:space="preserve">Manager can create skill proficiencies or other validation metrics </t>
  </si>
  <si>
    <t xml:space="preserve">Skills Development </t>
  </si>
  <si>
    <t xml:space="preserve">System comes with Skills, Job Roles/Titles component  (often cited as a skills library)- massive listing (example: 40,000 roles, 10,000 skills) </t>
  </si>
  <si>
    <t>Identify by each learner, skills assigned to them AND skill(s) they selected</t>
  </si>
  <si>
    <t xml:space="preserve">Identify by each learner, skills currently developing </t>
  </si>
  <si>
    <t>Data around skills content tied to each learner tied to skill proficiencies tied to skills self-validation and or combo (a wide variety of options)</t>
  </si>
  <si>
    <t>Skill proficiency  levels, top skills sought out by learners, Most Popular content tied to a skill or skills,  Least popular skill or skills, least popular content by skill, skill comparison data</t>
  </si>
  <si>
    <t xml:space="preserve">Skills tracking over a period of time, select by various skill filters, even job roles attached to that skill or skills </t>
  </si>
  <si>
    <t>If system offers interests too, analytics identify what are the most popular interests, interests for that learner compared to skills (they selected)</t>
  </si>
  <si>
    <t>Skills-Ratings (Self and Manager)</t>
  </si>
  <si>
    <t xml:space="preserve">Learner can self-validate themselves on a skill or skills </t>
  </si>
  <si>
    <t>Manager can provide a skill-rating validation of an employee (who has completed their own skill validation rating)</t>
  </si>
  <si>
    <t>Administrator can edit/delete what each skill rating represents</t>
  </si>
  <si>
    <t xml:space="preserve">System provides proficiency details for each skill rating identified 1-5, thus someone who is 1 means they are proficient at only this and so forth </t>
  </si>
  <si>
    <t xml:space="preserve">Administrator can edit/delete/modify proficiencies descriptions </t>
  </si>
  <si>
    <t xml:space="preserve">An analytics section specifically around skill ratings validations.  Includes a comparison total score by each learner, manager comparison for each learner, skills proficiencies, skill strengths and areas to improve with score rating. </t>
  </si>
  <si>
    <t xml:space="preserve">Create catalogs of content only for job roles tied to skills - a combination.  Includes Skill Ratings (by learners), skill level and feedback from learners on whether or not it met the skill it represents </t>
  </si>
  <si>
    <t xml:space="preserve">Technical Information </t>
  </si>
  <si>
    <t>Do you have servers available in different countries (Example: Customer in Germany, needs to have data center in Germany. Or customer in Canada and wants servers in Canada)</t>
  </si>
  <si>
    <t xml:space="preserve">Does your data center and/or hosting facility have any certifications (i.e. SAS 70, PCI, ISO 27001, HIPAA)? If yes, please list. 
</t>
  </si>
  <si>
    <t xml:space="preserve">What type of development process do you use? (Agile, Waterfall, Custom)
</t>
  </si>
  <si>
    <t>Please provide your SLA (separate document)</t>
  </si>
  <si>
    <t>Can our users access your system via a VPN?</t>
  </si>
  <si>
    <t>What browsers  (on desktop) will work with your system and what is the minimum version of each browser that will work?</t>
  </si>
  <si>
    <t>What browsers  (on mobile) will work with your system and what is the minimum version of each browser that will work?</t>
  </si>
  <si>
    <t xml:space="preserve">Encryption.  How will you protect credentials and data transmissions from detection while in transit to your application? 
</t>
  </si>
  <si>
    <t xml:space="preserve">Technical Inquires </t>
  </si>
  <si>
    <t xml:space="preserve">How often do you update the system? </t>
  </si>
  <si>
    <t>Do you provide a maintenance schedule? If yes, how far in advance is the administrator notified?</t>
  </si>
  <si>
    <t>How often do you backup the system? What is your recovery process?</t>
  </si>
  <si>
    <t>Do you provide free administrator training?</t>
  </si>
  <si>
    <r>
      <t xml:space="preserve">If yes, what is included in the "free" training?  Please be specific. </t>
    </r>
    <r>
      <rPr>
        <i/>
        <sz val="11"/>
        <color indexed="8"/>
        <rFont val="Calibri"/>
        <family val="2"/>
      </rPr>
      <t xml:space="preserve"> For example:  We include a 30 page training guide, three webinars scheduled in conjunction with the client;  Face to Face training on-site at our location or at their location </t>
    </r>
  </si>
  <si>
    <t>If no (regarding training), what are the costs and what is included?  If you offer training beyond free, what is included in that type of training and what are the fees?</t>
  </si>
  <si>
    <t>Do you have a training department?  If no, who will provide the training?</t>
  </si>
  <si>
    <t xml:space="preserve">Community site/Knowledge portal?  If yes, what is included?
</t>
  </si>
  <si>
    <t>Is support included when client purchases system?  Is support only for one administrator or if the client has multiple administrators (do they receive support too)?  If an additional cost, please state fee(s).</t>
  </si>
  <si>
    <t xml:space="preserve">How many people do you have in support?  Do you have support agents that speak any other languages besides English? If yes, list the languages. Where are your support agents based (i.e. located)?
</t>
  </si>
  <si>
    <t>What are your hours of phone support?</t>
  </si>
  <si>
    <t>Do you offer support on the weekends?</t>
  </si>
  <si>
    <t>Do you offer e-mail support?</t>
  </si>
  <si>
    <t>Do you offer 24/7, 365 day a year support?</t>
  </si>
  <si>
    <t>Do you offer higher levels of support (fee based)?  If yes, what are the tiers and what are the fees?  What does the client receive for the tier(s) or higher level of support?</t>
  </si>
  <si>
    <t>Do you offer end user support?  If yes, what are the fees and what is provided to each end user? Lastly, what are the times available for that support?</t>
  </si>
  <si>
    <t>Do you  provide  job aids, reference guides and/or any other materials, which are editable templates and can be used by learners</t>
  </si>
  <si>
    <t xml:space="preserve">What is the average response time for a priority one support call, during business hours? Please state in minutes. </t>
  </si>
  <si>
    <t>How often do you follow up with any support call/e-mail from the administrator (every day, every two days, etc.) And what is/are your methods of communication?</t>
  </si>
  <si>
    <t xml:space="preserve">Training and Support </t>
  </si>
  <si>
    <t>Release Frequency</t>
  </si>
  <si>
    <t>Number of individual clients</t>
  </si>
  <si>
    <t>Largest number of active users for one client (client name not needed)</t>
  </si>
  <si>
    <t>Planned Upgrades and Releases for next 6 months</t>
  </si>
  <si>
    <t>Can be a separate page</t>
  </si>
  <si>
    <t>Details - Please - Product Roadmap</t>
  </si>
  <si>
    <t>Please describe your product road map</t>
  </si>
  <si>
    <t xml:space="preserve">What percentage of influence/consideration does your clients have in the functionality of your system? </t>
  </si>
  <si>
    <t>Provide your implementation timeframe</t>
  </si>
  <si>
    <t>Provide your implementation process</t>
  </si>
  <si>
    <t xml:space="preserve">Product Information </t>
  </si>
  <si>
    <t xml:space="preserve">Skills mapped to content/courses. </t>
  </si>
  <si>
    <t>Ability to send (SMS) - text messaging</t>
  </si>
  <si>
    <t>Ability to create assessments (validation) tied to specific content with a skill or set of skills to be taken and completed by the employee </t>
  </si>
  <si>
    <t>System includes skill ratings (1 to 5 scale)</t>
  </si>
  <si>
    <t>Survey/Polls</t>
  </si>
  <si>
    <t xml:space="preserve">ADA 508 or similar compliant </t>
  </si>
  <si>
    <t xml:space="preserve">Microsoft Dynamics </t>
  </si>
  <si>
    <t xml:space="preserve">Another Learning System </t>
  </si>
  <si>
    <t>Learning System Vendor provides examples on how to develop your own skill taxonomy or assists you with building one (at no additional charge)</t>
  </si>
  <si>
    <t xml:space="preserve">Ability to see the Top Content (Top 10) or least selected content, thru filters, on the admin side </t>
  </si>
  <si>
    <t>To view Video and other content, what do you recommend as the minimum download speed (i.e. 20MBs, 10MBs)</t>
  </si>
  <si>
    <t>Vendor Comments/Details  (Strongly Recommend providing details, whenever possible</t>
  </si>
  <si>
    <t>Your Response(s)</t>
  </si>
  <si>
    <t xml:space="preserve">Community members can select and share other members content playlists, content (uploaded into the system), curation picks </t>
  </si>
  <si>
    <t>Multi-Tenant aka Portals/Sub-Portals, Parent/Child, Extended Enterprise)</t>
  </si>
  <si>
    <t xml:space="preserve">Craig's Comments and Insight </t>
  </si>
  <si>
    <t xml:space="preserve">Craig - Be aware that what a vendor calls a "custom domain", may not be what you are thinking as a custom domain. A true custom domain is WidgetU.com (if you were widget company), Vendors may say "custom domain" is widgetu.vendorname.com </t>
  </si>
  <si>
    <t>Craig - A wonderful plus, still in the infant stage in the industry</t>
  </si>
  <si>
    <t xml:space="preserve">Craig - Very common in the industry. Some vendors charge for this, many do not. Always negotiable. </t>
  </si>
  <si>
    <t xml:space="preserve">Craig - There are systems that are not ADA508 or similar compliance. </t>
  </si>
  <si>
    <t xml:space="preserve">Craig - When a vendor says they have these capabilities it usually means it is thru a 3rd party web conferencing solution. Always verify, before assuming it is part of the system per se. </t>
  </si>
  <si>
    <t xml:space="preserve">Craig - Most of these features are common in the industry, but not universal. I recommend them all (however, SMS is very rare). </t>
  </si>
  <si>
    <t>Craig- Very rare in the industry</t>
  </si>
  <si>
    <t>Create a community/communities specifically for a job role, skills or interests</t>
  </si>
  <si>
    <t>Craig - If you have employees, customers, members, students, whomever that is outside the U.S., you need this</t>
  </si>
  <si>
    <t xml:space="preserve">Craig - The majority of systems have all these features. I recommend saying "Yes to everyone of them". </t>
  </si>
  <si>
    <t xml:space="preserve">Craig - Every vendor will say their system is modern, with great UI/UX, easy to use. I include it, because folks always inquire. Just be aware. This is why you must see a demo of the system before you buy. </t>
  </si>
  <si>
    <t>Craig - Big fan, but still extremely rare in the industry</t>
  </si>
  <si>
    <t xml:space="preserve">Craig - If you are seeking a system for customer education, associations - you want all these features. Very common for skinning and multiple custom domains. However, a lot of vendors charge beyond say one or two children (aka sub-tenants). Always inquire. </t>
  </si>
  <si>
    <t xml:space="preserve">24/7  or 24/5 support </t>
  </si>
  <si>
    <t xml:space="preserve">Craig - I recommend having a sandbox after the system goes live, and having it for free. There are vendors who charge, and yes, vendors who do not offer it. </t>
  </si>
  <si>
    <t xml:space="preserve"> Analytics tied to playlists based on requirements for opportunities within the company, with skill success to each piece of content, ability to identify challenges, applicant must overcome</t>
  </si>
  <si>
    <t>Please complete the following (Customer Completes)</t>
  </si>
  <si>
    <t>Company Name</t>
  </si>
  <si>
    <t>Address</t>
  </si>
  <si>
    <t>Type of Organization (please select one)</t>
  </si>
  <si>
    <t>Name of Contact</t>
  </si>
  <si>
    <t>Email</t>
  </si>
  <si>
    <t>Website</t>
  </si>
  <si>
    <t>Projected Go-Live date (When do you wish to be live with learners in the system?)</t>
  </si>
  <si>
    <t>Phone Number (office)</t>
  </si>
  <si>
    <t>Phone number (mobile/cell)  (if applicable)</t>
  </si>
  <si>
    <t xml:space="preserve">Do you currently have another learning system? </t>
  </si>
  <si>
    <t xml:space="preserve">Cohort-Based Learning </t>
  </si>
  <si>
    <t>Your Details (Comments) - If you, the client, wish to provide any additional details, specifics  or needs tied to any feature set</t>
  </si>
  <si>
    <t>Batch upload of courses/content</t>
  </si>
  <si>
    <t>Your Details (Comments) - If you, the client, wish to provide any additional details, specifics or needs tied to any feature set</t>
  </si>
  <si>
    <t>Ability for learners to work on/be involved with multiple cohort sessions at any given time</t>
  </si>
  <si>
    <t xml:space="preserve">Assignments </t>
  </si>
  <si>
    <t>Activities</t>
  </si>
  <si>
    <t>Ability for each learner to work on/involved with multiple assignments and activities at any given time</t>
  </si>
  <si>
    <t xml:space="preserve">Group Communication in each cohort </t>
  </si>
  <si>
    <t>Ability to have multiple cohorts (term I use is learning pods)</t>
  </si>
  <si>
    <t>Ability for learners to select their own cohorts of interest</t>
  </si>
  <si>
    <t>Ability to assign learners to any cohort (Assigned by Admin/Manager)</t>
  </si>
  <si>
    <t xml:space="preserve">Ability to limit the number of learners in each cohort </t>
  </si>
  <si>
    <t xml:space="preserve">Mentoring </t>
  </si>
  <si>
    <t xml:space="preserve">Ability for learners to select a specific mentor for a cohort </t>
  </si>
  <si>
    <t>Ability for a mentor to select a specific cohort or cohorts</t>
  </si>
  <si>
    <t>Ability to see (on admin side) data related to the mentor (response time, cohorts they are in or number of mentorees, etc.)</t>
  </si>
  <si>
    <t xml:space="preserve">Peer to Peer Learning </t>
  </si>
  <si>
    <t xml:space="preserve">Networking in each cohort </t>
  </si>
  <si>
    <t xml:space="preserve">Capabilities around networking after cohort(s) are completed </t>
  </si>
  <si>
    <t xml:space="preserve">Cohort data on the admin side </t>
  </si>
  <si>
    <t xml:space="preserve">Synchronous Based Learning (Linear course format, usually with a syllabus or similar). You cannot move forward until each session/topic is complete </t>
  </si>
  <si>
    <t>Ability to limit the number of cohorts</t>
  </si>
  <si>
    <t>Systems that heavily focus on the customer education market, usually do not have many of these feature sets. This is slowly changing due to competition from systems who target employees and customers (usually skews towards employees. I refer to these systems as "Combos")</t>
  </si>
  <si>
    <t xml:space="preserve">Craig - With data fee increases, spotty Wi-Fi at your residence or out and about, this is a huge plus. More vendors are adding it - still not universal. Basically if the learner loses net connectivity, they can still use the app, when they get the net back, all the data gets pushed back into the learning system. </t>
  </si>
  <si>
    <t>Rubrics</t>
  </si>
  <si>
    <t xml:space="preserve">AI Content Creator (aka authoring tool) </t>
  </si>
  <si>
    <t>Authoring tool (Does not offer any AI capabilities)</t>
  </si>
  <si>
    <t>Course/Content Creator (Authoring) - Is available in the system - Created by the Vendor</t>
  </si>
  <si>
    <t xml:space="preserve">Craig - The keys to e-commerce are - Is there a fee to have e-commerce (it should be no), does the system have a payment processor built-in or used, or recommends (you want the first or second ideally, but third is a big plus).  You will always pay for POS fees (Point of Sales fees - from the Credit Card Companies. Vendors cannot control the fees). </t>
  </si>
  <si>
    <t>TAGS- Administrator can create TAGS by Skills, Interest, Job Role, etc.  Vendors may refer to this as METADATA</t>
  </si>
  <si>
    <t>Canned Reports</t>
  </si>
  <si>
    <t xml:space="preserve">A series of reports pre-defined that come with the system </t>
  </si>
  <si>
    <t xml:space="preserve">Favorite Reports </t>
  </si>
  <si>
    <t xml:space="preserve">Opportunities exists in system - Includes description, Learner can apply for the opening </t>
  </si>
  <si>
    <t>Opportunities show skills required and identifies the skills total that learner has (i.e. Learner has 5 of the 9 skills)</t>
  </si>
  <si>
    <t>Catalog - Search by Skills and/or job roles</t>
  </si>
  <si>
    <t>AI (Generative AI)</t>
  </si>
  <si>
    <t>Vendor Response(s) (Yes, No, Roadmap)</t>
  </si>
  <si>
    <t>Presents recommended content/courses based on a series of responses from the learner</t>
  </si>
  <si>
    <t xml:space="preserve">Creates learning path/journey/curriculum </t>
  </si>
  <si>
    <t xml:space="preserve">Creates an assessment/quiz </t>
  </si>
  <si>
    <t xml:space="preserve">Creates a course/content including chapters, title, etc. </t>
  </si>
  <si>
    <t>Creates content by skill (Example - you type in leadership) it outputs content -- course all around that specific topic</t>
  </si>
  <si>
    <t>Creates objectives and description of content/course</t>
  </si>
  <si>
    <t>Can scan any materials you upload and outputs a summary of the information (accepts PDF, .DOCX, videos, etc.)</t>
  </si>
  <si>
    <t>Creates skills and maps them to content using AI</t>
  </si>
  <si>
    <t xml:space="preserve">Types of Learning </t>
  </si>
  <si>
    <t xml:space="preserve">Micro-Learning </t>
  </si>
  <si>
    <t xml:space="preserve">Sales Training </t>
  </si>
  <si>
    <t xml:space="preserve">Role Playing </t>
  </si>
  <si>
    <t xml:space="preserve">Practice Skills (Business and/or Technical) - Think Scenarios </t>
  </si>
  <si>
    <t xml:space="preserve">Assigned Learning </t>
  </si>
  <si>
    <t>On-Site (Physical Location aka Classroom)</t>
  </si>
  <si>
    <t>Webinar (Virtual Learning)</t>
  </si>
  <si>
    <t>MOOC</t>
  </si>
  <si>
    <t>Types of Learning  (Only option is Yes or No, for this category)</t>
  </si>
  <si>
    <t xml:space="preserve">Facilities Management </t>
  </si>
  <si>
    <t>Course/Content Creator (Authoring) - Is available in the system</t>
  </si>
  <si>
    <t xml:space="preserve">Manager can create playlists for their team members </t>
  </si>
  <si>
    <t xml:space="preserve">Benchmark - Compare where you - learner stands versus other learners, team vs team, etc. </t>
  </si>
  <si>
    <t xml:space="preserve">Other integrations </t>
  </si>
  <si>
    <t>Ability to show certificate on learner's LinkedIn Profile (Includes what course/content completed)</t>
  </si>
  <si>
    <t xml:space="preserve">Built-in email marketing </t>
  </si>
  <si>
    <t>Offers add-ons (may charge additional fees, depending on type. Example -there are vendors who offer performance management, as an additional fee)</t>
  </si>
  <si>
    <t>Flexible User Management - Allow for automated and manual user management and facilitation</t>
  </si>
  <si>
    <t>Role-based Permissions - Different roles (e.g., admin, mentor, mentee) should have specific permissions and access controls</t>
  </si>
  <si>
    <t>Skills and Goals-Based Matching Connects mentors and mentees based on a variety of criteria such as skills, career goals, industry experience, or areas of improvement</t>
  </si>
  <si>
    <t>Manual and Automated Matching -  Support for both automated matching through algorithms and manual matching by admins</t>
  </si>
  <si>
    <t>Preferences - Allow admins, mentors, mentees to select preferences such as location, industry, or department to influence matching decisions</t>
  </si>
  <si>
    <t>Customizable Program Creation -  Admins should be able to create mentoring programs and define parameters such as duration, milestones, and objectives</t>
  </si>
  <si>
    <t>Multiple Program Support - Ability to support multiple mentoring programs simultaneously with different goals and structures</t>
  </si>
  <si>
    <t>Program Progress Tracking - Allow mentors and mentees to track progress, milestones, and outcomes throughout the mentoring relationship, allow admins to track and report program-wide and individual progress and outcomes</t>
  </si>
  <si>
    <t>Session Scheduling - Mentee has the ability to schedule mentoring sessions (both in-person and virtual) directly within the platform with calendar integrations (Google Calendar, Outlook)</t>
  </si>
  <si>
    <t>Video Conferencing Integration - Integration with video conferencing tools, Zoom,/Teams for remote mentoring sessions</t>
  </si>
  <si>
    <t>Mentoring platform comes with a built-in video conferencing solution - created by the vendor (additional fee may be applicable)</t>
  </si>
  <si>
    <t>Notifications and Reminders - Automated notifications for session reminders, program milestones, and action items</t>
  </si>
  <si>
    <t>Document Sharing - Ability for admins, mentors and mentees to share documents, articles, and resources within the platform</t>
  </si>
  <si>
    <t>Learning Resources: A library of resources (videos, articles, case studies) that mentors and mentees can use to guide their sessions</t>
  </si>
  <si>
    <t>Goal Setting and Tracking: Allow admins, mentors and mentees to define clear, measurable goals for the mentoring relationship and track progress over time</t>
  </si>
  <si>
    <t>Skill Assessments: Tools for mentees to assess their skills and receive feedback from mentors on areas for improvement</t>
  </si>
  <si>
    <t>Action Plans -Mentors and mentees can co-create action plans that outline steps for development, with deadlines and progress tracking</t>
  </si>
  <si>
    <t>Custom Forms and Fields -  Ability to customize user profile fields, application forms for programs, and feedback surveys to meet specific organizational needs</t>
  </si>
  <si>
    <t>Personalized Dashboards -Provide admins, mentors and mentees with personalized dashboards that display relevant information such as upcoming sessions, learning materials, and goals</t>
  </si>
  <si>
    <t>Mentoring Metrics: Provide detailed reports on mentoring engagement, session frequency, goal completion rates, and program effectiveness</t>
  </si>
  <si>
    <t>Organizational Impact: Provide insights into how mentoring programs are affecting overall employee engagement, retention rates, and leadership development</t>
  </si>
  <si>
    <t>Feedback Surveys &amp; Reporting: Built-in feedback mechanisms for both mentors and mentees after each session, allowing program managers to assess program quality</t>
  </si>
  <si>
    <t>Integration with HRIS, other learning systems (Example, TDP, LMS, LXP, Learning Platform, etc.)</t>
  </si>
  <si>
    <t>Language Support: Support for multiple languages, allowing users from different regions to use the platform in their native language</t>
  </si>
  <si>
    <t>GDPR and CCPA Compliance</t>
  </si>
  <si>
    <t>Compliance feature sets include Audit trail</t>
  </si>
  <si>
    <t>Privileged Account Management: tracking login attempts, monitoring for unusual access patterns, and automated reviewing of the actions of privileged users</t>
  </si>
  <si>
    <t>Localization Features: Facilitate tailored content and user experience based on geographic location, such as regional time zone support and culturally relevant resources</t>
  </si>
  <si>
    <t>Mentee Pre Assessment capability prior to entering platform. Enables via the analysis to tie into a variety of feature sets including matching or showing mentors that match to mentees</t>
  </si>
  <si>
    <t xml:space="preserve">Guided Mentoring </t>
  </si>
  <si>
    <t xml:space="preserve">Mentors are able to offer a 30 session whereas the mentee can communicate with them, to see if it is a fit or not. </t>
  </si>
  <si>
    <t>SSO (Single Sign On)</t>
  </si>
  <si>
    <t>Additional AI capabilities (Example: Assessment, built-in content tool, etc. - dependent on vendor)</t>
  </si>
  <si>
    <t>Craig - You want this feature (Sadly, not all vendors offer it)</t>
  </si>
  <si>
    <t xml:space="preserve">Craig - A must feature you will want - if you are using or having or offering CEU, CPD or similar ilk </t>
  </si>
  <si>
    <t xml:space="preserve">Craig - Highly Recommend </t>
  </si>
  <si>
    <t xml:space="preserve">Craig - A must feature </t>
  </si>
  <si>
    <t>Craig - A must feature (if you are offering CEU, CPD and similar ilk)</t>
  </si>
  <si>
    <t xml:space="preserve">Craig - A must feature (There are vendors who have replaced communities and changed them to cohorts. Personally I am a huge fan of cohorts, rather than the old school communities. Nevertheless, if you are into the communities or the vendor only offers them, well, you want this. </t>
  </si>
  <si>
    <t>Craig - If you need a manager view - you want all these features</t>
  </si>
  <si>
    <t>Craig - If you need an instructor view - you want all these features</t>
  </si>
  <si>
    <t>Craig - You want this feature (And yes, there are vendors in 2025, who still do not have one)</t>
  </si>
  <si>
    <t>Can view and take courses/content within native app</t>
  </si>
  <si>
    <t>Craig - A must feature (There are vendors who are using AI for this)</t>
  </si>
  <si>
    <t xml:space="preserve">What's HOT - This is starting to become popular. If the vendor offers it - take it.  </t>
  </si>
  <si>
    <t xml:space="preserve">Craig - I love this new capability  - but it is very rare in the space.  Has potential. </t>
  </si>
  <si>
    <t xml:space="preserve">Craig  - If you are using MS Teams - the ideal one is where the system is within Teams, so the learner never has to leave.  Ditto if you are using Slack. </t>
  </si>
  <si>
    <t xml:space="preserve">Vendors may refer to these as paths. Some vendors offer multiple views - i.e. hierarchy, Grid, etc. </t>
  </si>
  <si>
    <t>Craig - A must feature</t>
  </si>
  <si>
    <t xml:space="preserve">Craig - A must feature - if you need Assigned Learning.  If you don't - then this isn't relevant to you. </t>
  </si>
  <si>
    <t>Learner can create their own content playlist</t>
  </si>
  <si>
    <t xml:space="preserve">I am a master supporter and fan of Generative AI - That said, not all these features exist in the industry across the board.  Many vendors are holding off until 2026. AI is still at a very early stage, always remember that. </t>
  </si>
  <si>
    <t xml:space="preserve">Craig - A must feature - HOWEVER IT IS VERY RARE in the industry.  Trust me, this is one that can impact your company, org., association, etc. down the road if the system lacks it.  While many people use AI on a daily basis - ChatGPT or Claude for example - they assume everything is correct. It is not.  Even if it is your own content - fake or false may appear, even AI bias. </t>
  </si>
  <si>
    <t xml:space="preserve">Craig - The use case with selecting the best/right LLM (supposedly) are called Model as a Service (MAAS) - Bedrock from Amazon is an example.  Google has one too. There are a lot of them out there. I am a fan of these - especially Bedrock. </t>
  </si>
  <si>
    <t xml:space="preserve">Always make sure the system you select will work the content/courses you plan or want in the system.  If your content is AICC only, and the vendor doesn't support AICC, then your course content will not work as it is. </t>
  </si>
  <si>
    <t xml:space="preserve">Craig - A must feature for compliance </t>
  </si>
  <si>
    <t>Been around since 2000 - every SYSTEM can do this</t>
  </si>
  <si>
    <t xml:space="preserve">What types of learning do you plan to use the system? Nearly every system can do all of these - There are exceptions - Not every system can do Scenario Based Learning, or MOOCs for example. Always ask. </t>
  </si>
  <si>
    <t>Self-Paced (aka Asynchronous) - Some vendors refer to this as e-learning (albeit all learning online is e-learning)</t>
  </si>
  <si>
    <t>Synchronous (very common form of learning in Higher Ed and K-12)</t>
  </si>
  <si>
    <t>System identifies that AI may create fake or false information and always review before accepting - I STRONGLY RECOMMEND YOU WANT THIS</t>
  </si>
  <si>
    <t>AI Tutor (Could be either a "coach" or "mentor" that is AI based) (terminology dependent on vendor) - Identifies specific patterns via visual metrics and areas to improve upon - Also has ability to answer questions from mentee</t>
  </si>
  <si>
    <t>Session Templates: Mentor-Mentee Session Templates to optimize the learning and relationship building</t>
  </si>
  <si>
    <t>Gamification: Through progression - to identify the level of impact and performance or other variables (as defined by vendor)</t>
  </si>
  <si>
    <t xml:space="preserve">Craig - If you want gamification, then you want all these capabilities - again, Benchmark is new - thus read the notes.  Leaderboard, Acquire Badges, Points usually are in any system that has gamification. </t>
  </si>
  <si>
    <t xml:space="preserve">Ability to create workflows </t>
  </si>
  <si>
    <t>A must feature - Make sure your vendor supports the language or languages you need (Overwhelmingly English is in the systems.  Not all for example support British English, so if you need that, ask)</t>
  </si>
  <si>
    <t>The administrator can select a report or reports that they frequently use - save as favorites. Then they just go to their favorite reports area and push out.  Another option may be that based on usage the system identifies your favorite reports - then you click the "Favorite Reports" button and it generates them for you. Very new in the industry - either option. Still if they have it, trust me you will want to use this - I think it is by far the best capability the industry - admins can tap into</t>
  </si>
  <si>
    <t>Automate Reports - Set once and the system will automate the report and send to the individual or individuals who will need the report (manager, sub-administrator, etc.)</t>
  </si>
  <si>
    <t>Guided (aka Facilitated) Learning</t>
  </si>
  <si>
    <t>Vendor Comments/Details  (Strongly Recommend providing details, whenever possible)</t>
  </si>
  <si>
    <t>Why are you seeking/wish to change to change to another system?</t>
  </si>
  <si>
    <t xml:space="preserve">AI Assistant-  Based on response from the learner's question, system goes right to the area of content to show answer - may or may not cite sources - Content is only from the client, and not the internet </t>
  </si>
  <si>
    <t>Agentic Agent (The agent handles specific tasks, pre-defined by the vendor OR can be customized by the client - i.e. you)</t>
  </si>
  <si>
    <t xml:space="preserve">AI Tutor/Coach/Mentor </t>
  </si>
  <si>
    <t>Offer SCORM Parsing (this will be big in the coming years)</t>
  </si>
  <si>
    <t xml:space="preserve">System is LLM Agnostic - This means that depending on the use case, the system will select the best LLM for that use case.  LLM - Learning Language Model - is the foundation needed for Generative AI.  </t>
  </si>
  <si>
    <t>System accepts MCP (Another future feature you will want - there are some vendors who offer it - the term means Model Context Protocol)</t>
  </si>
  <si>
    <t>System uses a MaSS (Model as a Self-Service) - The two big ones are Google Vertex, and AWS Bedrock - Premise is simple, the best LLM is selected based on the use case)</t>
  </si>
  <si>
    <t xml:space="preserve">Career Management </t>
  </si>
  <si>
    <t xml:space="preserve">System includes RAG (Retrival Augmented Generation) - This is a must.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</si>
</sst>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000000"/>
      <name val="Calibri"/>
      <family val="2"/>
    </font>
    <font>
      <sz val="11"/>
      <color rgb="FF42474A"/>
      <name val="Arial"/>
      <family val="2"/>
    </font>
    <font>
      <b/>
      <sz val="16"/>
      <color theme="0"/>
      <name val="Calibri"/>
      <family val="2"/>
      <scheme val="minor"/>
    </font>
    <font>
      <b/>
      <sz val="12"/>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i/>
      <sz val="11"/>
      <color indexed="8"/>
      <name val="Calibri"/>
      <family val="2"/>
    </font>
    <font>
      <sz val="11"/>
      <color indexed="10"/>
      <name val="Calibri"/>
      <family val="2"/>
    </font>
    <font>
      <sz val="12"/>
      <color theme="1"/>
      <name val="Calibri"/>
      <family val="2"/>
      <scheme val="minor"/>
    </font>
    <font>
      <b/>
      <sz val="14"/>
      <color theme="0"/>
      <name val="Calibri"/>
      <family val="2"/>
      <scheme val="minor"/>
    </font>
    <font>
      <sz val="11"/>
      <color theme="1"/>
      <name val="Calibri"/>
      <family val="2"/>
      <scheme val="minor"/>
    </font>
    <font>
      <b/>
      <sz val="14"/>
      <name val="Calibri"/>
      <family val="2"/>
      <scheme val="minor"/>
    </font>
    <font>
      <i/>
      <sz val="12"/>
      <color theme="1"/>
      <name val="Calibri"/>
      <family val="2"/>
      <scheme val="minor"/>
    </font>
    <font>
      <sz val="11"/>
      <name val="Calibri"/>
      <family val="2"/>
      <scheme val="minor"/>
    </font>
    <font>
      <u/>
      <sz val="11"/>
      <color theme="10"/>
      <name val="Calibri"/>
      <family val="2"/>
      <scheme val="minor"/>
    </font>
    <font>
      <u/>
      <sz val="11"/>
      <name val="Calibri"/>
      <family val="2"/>
      <scheme val="minor"/>
    </font>
    <font>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sz val="14"/>
      <color theme="1"/>
      <name val="Calibri"/>
      <family val="2"/>
      <scheme val="minor"/>
    </font>
    <font>
      <b/>
      <i/>
      <sz val="12"/>
      <color theme="1"/>
      <name val="Calibri"/>
      <family val="2"/>
      <scheme val="minor"/>
    </font>
    <font>
      <i/>
      <sz val="12"/>
      <name val="Calibri"/>
      <family val="2"/>
      <scheme val="minor"/>
    </font>
  </fonts>
  <fills count="11">
    <fill>
      <patternFill patternType="none"/>
    </fill>
    <fill>
      <patternFill patternType="gray125"/>
    </fill>
    <fill>
      <patternFill patternType="solid">
        <fgColor theme="0"/>
        <bgColor indexed="64"/>
      </patternFill>
    </fill>
    <fill>
      <gradientFill degree="90">
        <stop position="0">
          <color theme="3" tint="-0.25098422193060094"/>
        </stop>
        <stop position="1">
          <color theme="4"/>
        </stop>
      </gradientFill>
    </fill>
    <fill>
      <patternFill patternType="solid">
        <fgColor rgb="FF00B0F0"/>
        <bgColor indexed="64"/>
      </patternFill>
    </fill>
    <fill>
      <patternFill patternType="solid">
        <fgColor rgb="FF00B0F0"/>
      </patternFill>
    </fill>
    <fill>
      <gradientFill degree="90">
        <stop position="0">
          <color theme="3" tint="-0.25098422193060094"/>
        </stop>
        <stop position="1">
          <color theme="3" tint="0.40000610370189521"/>
        </stop>
      </gradientFill>
    </fill>
    <fill>
      <patternFill patternType="solid">
        <fgColor rgb="FFFFFF00"/>
        <bgColor indexed="64"/>
      </patternFill>
    </fill>
    <fill>
      <patternFill patternType="solid">
        <fgColor rgb="FFFFFF00"/>
        <bgColor auto="1"/>
      </patternFill>
    </fill>
    <fill>
      <patternFill patternType="solid">
        <fgColor theme="6" tint="-0.249977111117893"/>
        <bgColor auto="1"/>
      </patternFill>
    </fill>
    <fill>
      <patternFill patternType="solid">
        <fgColor theme="0"/>
        <bgColor auto="1"/>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bottom style="thin">
        <color auto="1"/>
      </bottom>
      <diagonal/>
    </border>
    <border>
      <left/>
      <right style="thin">
        <color auto="1"/>
      </right>
      <top/>
      <bottom style="thin">
        <color auto="1"/>
      </bottom>
      <diagonal/>
    </border>
  </borders>
  <cellStyleXfs count="3">
    <xf numFmtId="0" fontId="0" fillId="0" borderId="0"/>
    <xf numFmtId="0" fontId="1" fillId="0" borderId="0"/>
    <xf numFmtId="0" fontId="16" fillId="0" borderId="0" applyNumberFormat="0" applyFill="0" applyBorder="0" applyAlignment="0" applyProtection="0"/>
  </cellStyleXfs>
  <cellXfs count="97">
    <xf numFmtId="0" fontId="0" fillId="0" borderId="0" xfId="0"/>
    <xf numFmtId="0" fontId="2" fillId="0" borderId="0" xfId="0" applyFont="1"/>
    <xf numFmtId="18" fontId="0" fillId="2" borderId="0" xfId="0" applyNumberFormat="1" applyFill="1"/>
    <xf numFmtId="14" fontId="0" fillId="0" borderId="0" xfId="0" applyNumberFormat="1"/>
    <xf numFmtId="0" fontId="0" fillId="0" borderId="0" xfId="0" applyAlignment="1" applyProtection="1">
      <alignment horizontal="center" vertical="center" wrapText="1"/>
      <protection locked="0"/>
    </xf>
    <xf numFmtId="0" fontId="0" fillId="2" borderId="0" xfId="0" applyFill="1" applyAlignment="1" applyProtection="1">
      <alignment wrapText="1"/>
      <protection locked="0"/>
    </xf>
    <xf numFmtId="0" fontId="0" fillId="0" borderId="0" xfId="0" applyAlignment="1" applyProtection="1">
      <alignment wrapText="1"/>
      <protection locked="0"/>
    </xf>
    <xf numFmtId="0" fontId="3" fillId="3" borderId="1" xfId="0" applyFont="1" applyFill="1" applyBorder="1" applyAlignment="1">
      <alignment horizontal="center" vertical="center" wrapText="1"/>
    </xf>
    <xf numFmtId="0" fontId="0" fillId="2" borderId="0" xfId="0" applyFill="1"/>
    <xf numFmtId="0" fontId="0" fillId="0" borderId="4" xfId="0" applyBorder="1" applyAlignment="1">
      <alignment horizontal="left" vertical="top" wrapText="1"/>
    </xf>
    <xf numFmtId="0" fontId="0" fillId="0" borderId="1" xfId="0" applyBorder="1" applyAlignment="1">
      <alignment horizontal="center" vertical="center" wrapText="1"/>
    </xf>
    <xf numFmtId="0" fontId="0" fillId="0" borderId="0" xfId="0" applyAlignment="1">
      <alignment horizontal="left" vertical="top"/>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6" fillId="2" borderId="0" xfId="0" applyFont="1" applyFill="1"/>
    <xf numFmtId="0" fontId="6" fillId="0" borderId="0" xfId="0" applyFont="1"/>
    <xf numFmtId="0" fontId="0" fillId="0" borderId="8" xfId="0" applyBorder="1" applyAlignment="1">
      <alignment horizontal="center" vertical="center" wrapText="1"/>
    </xf>
    <xf numFmtId="0" fontId="5" fillId="2" borderId="4" xfId="0" applyFont="1" applyFill="1" applyBorder="1" applyAlignment="1">
      <alignment wrapText="1"/>
    </xf>
    <xf numFmtId="0" fontId="9" fillId="0" borderId="8" xfId="0" applyFont="1" applyBorder="1" applyAlignment="1">
      <alignment horizontal="center" vertical="center" wrapText="1"/>
    </xf>
    <xf numFmtId="0" fontId="5" fillId="2" borderId="9" xfId="0" applyFont="1" applyFill="1" applyBorder="1" applyAlignment="1">
      <alignment wrapText="1"/>
    </xf>
    <xf numFmtId="0" fontId="9"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wrapText="1"/>
    </xf>
    <xf numFmtId="0" fontId="5" fillId="0" borderId="13" xfId="0" applyFont="1" applyBorder="1" applyAlignment="1">
      <alignment wrapText="1"/>
    </xf>
    <xf numFmtId="0" fontId="5" fillId="2" borderId="13" xfId="0" applyFont="1" applyFill="1" applyBorder="1" applyAlignment="1">
      <alignment wrapText="1"/>
    </xf>
    <xf numFmtId="9" fontId="0" fillId="0" borderId="8" xfId="0" applyNumberFormat="1" applyBorder="1" applyAlignment="1">
      <alignment horizontal="center" vertical="center" wrapText="1"/>
    </xf>
    <xf numFmtId="0" fontId="5" fillId="0" borderId="4" xfId="0" applyFont="1" applyBorder="1" applyAlignment="1">
      <alignment wrapText="1"/>
    </xf>
    <xf numFmtId="0" fontId="5" fillId="2" borderId="11" xfId="0" applyFont="1" applyFill="1" applyBorder="1" applyAlignment="1">
      <alignment wrapText="1"/>
    </xf>
    <xf numFmtId="0" fontId="10" fillId="2" borderId="14" xfId="0"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0" fontId="10"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wrapText="1"/>
      <protection locked="0"/>
    </xf>
    <xf numFmtId="0" fontId="10" fillId="0" borderId="0" xfId="0" applyFont="1" applyAlignment="1" applyProtection="1">
      <alignment horizontal="left" vertical="center" wrapText="1"/>
      <protection locked="0"/>
    </xf>
    <xf numFmtId="0" fontId="10" fillId="2" borderId="1" xfId="0" applyFont="1" applyFill="1" applyBorder="1" applyAlignment="1" applyProtection="1">
      <alignment horizontal="left" vertical="top" wrapText="1"/>
      <protection locked="0"/>
    </xf>
    <xf numFmtId="0" fontId="10" fillId="0" borderId="14" xfId="0" applyFont="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top" wrapText="1"/>
      <protection locked="0"/>
    </xf>
    <xf numFmtId="0" fontId="10" fillId="2" borderId="14" xfId="0" applyFont="1" applyFill="1" applyBorder="1" applyAlignment="1" applyProtection="1">
      <alignment wrapText="1"/>
      <protection locked="0"/>
    </xf>
    <xf numFmtId="0" fontId="11" fillId="3" borderId="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4" fillId="7" borderId="1" xfId="0" applyFont="1" applyFill="1" applyBorder="1" applyAlignment="1" applyProtection="1">
      <alignment horizontal="left" vertical="top" wrapText="1"/>
      <protection locked="0"/>
    </xf>
    <xf numFmtId="0" fontId="13" fillId="8" borderId="1" xfId="0" applyFont="1" applyFill="1" applyBorder="1" applyAlignment="1">
      <alignment horizontal="center" vertical="center" wrapText="1"/>
    </xf>
    <xf numFmtId="0" fontId="14" fillId="7" borderId="1" xfId="0" applyFont="1" applyFill="1" applyBorder="1" applyAlignment="1" applyProtection="1">
      <alignment wrapText="1"/>
      <protection locked="0"/>
    </xf>
    <xf numFmtId="0" fontId="14" fillId="7" borderId="1" xfId="0" applyFont="1" applyFill="1" applyBorder="1" applyAlignment="1" applyProtection="1">
      <alignment horizontal="left" vertical="center" wrapText="1"/>
      <protection locked="0"/>
    </xf>
    <xf numFmtId="0" fontId="14" fillId="7" borderId="1" xfId="0" applyFont="1" applyFill="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wrapText="1"/>
      <protection locked="0"/>
    </xf>
    <xf numFmtId="0" fontId="10" fillId="0" borderId="0" xfId="0" applyFont="1" applyAlignment="1" applyProtection="1">
      <alignment wrapText="1"/>
      <protection locked="0"/>
    </xf>
    <xf numFmtId="0" fontId="10" fillId="0" borderId="1" xfId="0" applyFont="1" applyBorder="1" applyAlignment="1" applyProtection="1">
      <alignment horizontal="center" vertical="center" wrapText="1"/>
      <protection locked="0"/>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0" fillId="0" borderId="1" xfId="0" applyBorder="1" applyAlignment="1">
      <alignment horizontal="center" vertical="center"/>
    </xf>
    <xf numFmtId="0" fontId="12" fillId="2" borderId="0" xfId="0" applyFont="1" applyFill="1"/>
    <xf numFmtId="0" fontId="12"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 xfId="2" applyFill="1" applyBorder="1" applyAlignment="1">
      <alignment horizontal="center" vertical="center"/>
    </xf>
    <xf numFmtId="0" fontId="17" fillId="2" borderId="1" xfId="2" applyFont="1" applyFill="1" applyBorder="1" applyAlignment="1">
      <alignment horizontal="center" vertical="center"/>
    </xf>
    <xf numFmtId="18" fontId="5" fillId="2" borderId="16"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pplyAlignment="1">
      <alignment horizontal="center" vertical="center"/>
    </xf>
    <xf numFmtId="0" fontId="4" fillId="0" borderId="13" xfId="0" applyFont="1" applyBorder="1" applyAlignment="1">
      <alignment horizontal="left" vertical="top"/>
    </xf>
    <xf numFmtId="0" fontId="4" fillId="2" borderId="4" xfId="0" applyFont="1" applyFill="1" applyBorder="1" applyAlignment="1">
      <alignment horizontal="left" vertical="top" wrapText="1"/>
    </xf>
    <xf numFmtId="0" fontId="4" fillId="0" borderId="4" xfId="0" applyFont="1" applyBorder="1" applyAlignment="1">
      <alignment horizontal="left" vertical="top" wrapText="1"/>
    </xf>
    <xf numFmtId="0" fontId="11" fillId="9" borderId="14"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4" fillId="2" borderId="1" xfId="0" applyFont="1" applyFill="1" applyBorder="1" applyAlignment="1" applyProtection="1">
      <alignment wrapText="1"/>
      <protection locked="0"/>
    </xf>
    <xf numFmtId="0" fontId="14" fillId="2" borderId="1" xfId="0" applyFont="1" applyFill="1" applyBorder="1" applyAlignment="1" applyProtection="1">
      <alignment horizontal="left" vertical="center" wrapText="1"/>
      <protection locked="0"/>
    </xf>
    <xf numFmtId="0" fontId="18" fillId="0" borderId="0" xfId="0" applyFont="1" applyAlignment="1">
      <alignment wrapText="1"/>
    </xf>
    <xf numFmtId="0" fontId="18" fillId="0" borderId="1" xfId="0" applyFont="1" applyBorder="1" applyAlignment="1">
      <alignment wrapText="1"/>
    </xf>
    <xf numFmtId="0" fontId="19" fillId="10" borderId="14"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2" borderId="14" xfId="0" applyFont="1" applyFill="1" applyBorder="1" applyAlignment="1" applyProtection="1">
      <alignment wrapText="1"/>
      <protection locked="0"/>
    </xf>
    <xf numFmtId="0" fontId="22" fillId="2" borderId="14" xfId="0" applyFont="1" applyFill="1" applyBorder="1" applyAlignment="1" applyProtection="1">
      <alignment horizontal="center" vertical="center" wrapText="1"/>
      <protection locked="0"/>
    </xf>
    <xf numFmtId="0" fontId="14" fillId="2" borderId="1" xfId="0" applyFont="1" applyFill="1" applyBorder="1" applyAlignment="1" applyProtection="1">
      <alignment vertical="center" wrapText="1"/>
      <protection locked="0"/>
    </xf>
    <xf numFmtId="0" fontId="11" fillId="4" borderId="1"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23" fillId="7" borderId="1" xfId="0" applyFont="1" applyFill="1" applyBorder="1" applyAlignment="1" applyProtection="1">
      <alignment wrapText="1"/>
      <protection locked="0"/>
    </xf>
    <xf numFmtId="0" fontId="14" fillId="7" borderId="1" xfId="0" applyFont="1" applyFill="1" applyBorder="1" applyProtection="1">
      <protection locked="0"/>
    </xf>
    <xf numFmtId="0" fontId="24" fillId="7"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1" fillId="10" borderId="14" xfId="0" applyFont="1" applyFill="1" applyBorder="1" applyAlignment="1">
      <alignment horizontal="left" vertical="top" wrapText="1"/>
    </xf>
    <xf numFmtId="0" fontId="19" fillId="9" borderId="14"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4"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6" borderId="13" xfId="0" applyFont="1" applyFill="1" applyBorder="1" applyAlignment="1">
      <alignment horizontal="center"/>
    </xf>
    <xf numFmtId="0" fontId="5" fillId="6" borderId="5" xfId="0" applyFont="1" applyFill="1" applyBorder="1" applyAlignment="1">
      <alignment horizontal="center"/>
    </xf>
    <xf numFmtId="0" fontId="3" fillId="5" borderId="2" xfId="0" applyFont="1" applyFill="1" applyBorder="1" applyAlignment="1">
      <alignment horizontal="center"/>
    </xf>
    <xf numFmtId="0" fontId="7" fillId="5" borderId="3" xfId="0" applyFont="1" applyFill="1" applyBorder="1" applyAlignment="1">
      <alignment horizontal="center"/>
    </xf>
    <xf numFmtId="0" fontId="3" fillId="5" borderId="6" xfId="0" applyFont="1" applyFill="1" applyBorder="1" applyAlignment="1">
      <alignment horizontal="center" wrapText="1"/>
    </xf>
    <xf numFmtId="0" fontId="3" fillId="5" borderId="7" xfId="0" applyFont="1" applyFill="1" applyBorder="1" applyAlignment="1">
      <alignment horizont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Sheet10"/>
  <dimension ref="A1:A1462"/>
  <sheetViews>
    <sheetView workbookViewId="0">
      <selection activeCell="A1440" sqref="A1:A65536"/>
    </sheetView>
  </sheetViews>
  <sheetFormatPr defaultColWidth="8.85546875" defaultRowHeight="15" x14ac:dyDescent="0.25"/>
  <cols>
    <col min="1" max="1" width="10.42578125" bestFit="1" customWidth="1"/>
  </cols>
  <sheetData>
    <row r="1" spans="1:1" x14ac:dyDescent="0.25">
      <c r="A1" s="3">
        <v>41443</v>
      </c>
    </row>
    <row r="2" spans="1:1" x14ac:dyDescent="0.25">
      <c r="A2" s="3">
        <v>41444</v>
      </c>
    </row>
    <row r="3" spans="1:1" x14ac:dyDescent="0.25">
      <c r="A3" s="3">
        <v>41445</v>
      </c>
    </row>
    <row r="4" spans="1:1" x14ac:dyDescent="0.25">
      <c r="A4" s="3">
        <v>41446</v>
      </c>
    </row>
    <row r="5" spans="1:1" x14ac:dyDescent="0.25">
      <c r="A5" s="3">
        <v>41447</v>
      </c>
    </row>
    <row r="6" spans="1:1" x14ac:dyDescent="0.25">
      <c r="A6" s="3">
        <v>41448</v>
      </c>
    </row>
    <row r="7" spans="1:1" x14ac:dyDescent="0.25">
      <c r="A7" s="3">
        <v>41449</v>
      </c>
    </row>
    <row r="8" spans="1:1" x14ac:dyDescent="0.25">
      <c r="A8" s="3">
        <v>41450</v>
      </c>
    </row>
    <row r="9" spans="1:1" x14ac:dyDescent="0.25">
      <c r="A9" s="3">
        <v>41451</v>
      </c>
    </row>
    <row r="10" spans="1:1" x14ac:dyDescent="0.25">
      <c r="A10" s="3">
        <v>41452</v>
      </c>
    </row>
    <row r="11" spans="1:1" x14ac:dyDescent="0.25">
      <c r="A11" s="3">
        <v>41453</v>
      </c>
    </row>
    <row r="12" spans="1:1" x14ac:dyDescent="0.25">
      <c r="A12" s="3">
        <v>41454</v>
      </c>
    </row>
    <row r="13" spans="1:1" x14ac:dyDescent="0.25">
      <c r="A13" s="3">
        <v>41455</v>
      </c>
    </row>
    <row r="14" spans="1:1" x14ac:dyDescent="0.25">
      <c r="A14" s="3">
        <v>41456</v>
      </c>
    </row>
    <row r="15" spans="1:1" x14ac:dyDescent="0.25">
      <c r="A15" s="3">
        <v>41457</v>
      </c>
    </row>
    <row r="16" spans="1:1" x14ac:dyDescent="0.25">
      <c r="A16" s="3">
        <v>41458</v>
      </c>
    </row>
    <row r="17" spans="1:1" x14ac:dyDescent="0.25">
      <c r="A17" s="3">
        <v>41459</v>
      </c>
    </row>
    <row r="18" spans="1:1" x14ac:dyDescent="0.25">
      <c r="A18" s="3">
        <v>41460</v>
      </c>
    </row>
    <row r="19" spans="1:1" x14ac:dyDescent="0.25">
      <c r="A19" s="3">
        <v>41461</v>
      </c>
    </row>
    <row r="20" spans="1:1" x14ac:dyDescent="0.25">
      <c r="A20" s="3">
        <v>41462</v>
      </c>
    </row>
    <row r="21" spans="1:1" x14ac:dyDescent="0.25">
      <c r="A21" s="3">
        <v>41463</v>
      </c>
    </row>
    <row r="22" spans="1:1" x14ac:dyDescent="0.25">
      <c r="A22" s="3">
        <v>41464</v>
      </c>
    </row>
    <row r="23" spans="1:1" x14ac:dyDescent="0.25">
      <c r="A23" s="3">
        <v>41465</v>
      </c>
    </row>
    <row r="24" spans="1:1" x14ac:dyDescent="0.25">
      <c r="A24" s="3">
        <v>41466</v>
      </c>
    </row>
    <row r="25" spans="1:1" x14ac:dyDescent="0.25">
      <c r="A25" s="3">
        <v>41467</v>
      </c>
    </row>
    <row r="26" spans="1:1" x14ac:dyDescent="0.25">
      <c r="A26" s="3">
        <v>41468</v>
      </c>
    </row>
    <row r="27" spans="1:1" x14ac:dyDescent="0.25">
      <c r="A27" s="3">
        <v>41469</v>
      </c>
    </row>
    <row r="28" spans="1:1" x14ac:dyDescent="0.25">
      <c r="A28" s="3">
        <v>41470</v>
      </c>
    </row>
    <row r="29" spans="1:1" x14ac:dyDescent="0.25">
      <c r="A29" s="3">
        <v>41471</v>
      </c>
    </row>
    <row r="30" spans="1:1" x14ac:dyDescent="0.25">
      <c r="A30" s="3">
        <v>41472</v>
      </c>
    </row>
    <row r="31" spans="1:1" x14ac:dyDescent="0.25">
      <c r="A31" s="3">
        <v>41473</v>
      </c>
    </row>
    <row r="32" spans="1:1" x14ac:dyDescent="0.25">
      <c r="A32" s="3">
        <v>41474</v>
      </c>
    </row>
    <row r="33" spans="1:1" x14ac:dyDescent="0.25">
      <c r="A33" s="3">
        <v>41475</v>
      </c>
    </row>
    <row r="34" spans="1:1" x14ac:dyDescent="0.25">
      <c r="A34" s="3">
        <v>41476</v>
      </c>
    </row>
    <row r="35" spans="1:1" x14ac:dyDescent="0.25">
      <c r="A35" s="3">
        <v>41477</v>
      </c>
    </row>
    <row r="36" spans="1:1" x14ac:dyDescent="0.25">
      <c r="A36" s="3">
        <v>41478</v>
      </c>
    </row>
    <row r="37" spans="1:1" x14ac:dyDescent="0.25">
      <c r="A37" s="3">
        <v>41479</v>
      </c>
    </row>
    <row r="38" spans="1:1" x14ac:dyDescent="0.25">
      <c r="A38" s="3">
        <v>41480</v>
      </c>
    </row>
    <row r="39" spans="1:1" x14ac:dyDescent="0.25">
      <c r="A39" s="3">
        <v>41481</v>
      </c>
    </row>
    <row r="40" spans="1:1" x14ac:dyDescent="0.25">
      <c r="A40" s="3">
        <v>41482</v>
      </c>
    </row>
    <row r="41" spans="1:1" x14ac:dyDescent="0.25">
      <c r="A41" s="3">
        <v>41483</v>
      </c>
    </row>
    <row r="42" spans="1:1" x14ac:dyDescent="0.25">
      <c r="A42" s="3">
        <v>41484</v>
      </c>
    </row>
    <row r="43" spans="1:1" x14ac:dyDescent="0.25">
      <c r="A43" s="3">
        <v>41485</v>
      </c>
    </row>
    <row r="44" spans="1:1" x14ac:dyDescent="0.25">
      <c r="A44" s="3">
        <v>41486</v>
      </c>
    </row>
    <row r="45" spans="1:1" x14ac:dyDescent="0.25">
      <c r="A45" s="3">
        <v>41487</v>
      </c>
    </row>
    <row r="46" spans="1:1" x14ac:dyDescent="0.25">
      <c r="A46" s="3">
        <v>41488</v>
      </c>
    </row>
    <row r="47" spans="1:1" x14ac:dyDescent="0.25">
      <c r="A47" s="3">
        <v>41489</v>
      </c>
    </row>
    <row r="48" spans="1:1" x14ac:dyDescent="0.25">
      <c r="A48" s="3">
        <v>41490</v>
      </c>
    </row>
    <row r="49" spans="1:1" x14ac:dyDescent="0.25">
      <c r="A49" s="3">
        <v>41491</v>
      </c>
    </row>
    <row r="50" spans="1:1" x14ac:dyDescent="0.25">
      <c r="A50" s="3">
        <v>41492</v>
      </c>
    </row>
    <row r="51" spans="1:1" x14ac:dyDescent="0.25">
      <c r="A51" s="3">
        <v>41493</v>
      </c>
    </row>
    <row r="52" spans="1:1" x14ac:dyDescent="0.25">
      <c r="A52" s="3">
        <v>41494</v>
      </c>
    </row>
    <row r="53" spans="1:1" x14ac:dyDescent="0.25">
      <c r="A53" s="3">
        <v>41495</v>
      </c>
    </row>
    <row r="54" spans="1:1" x14ac:dyDescent="0.25">
      <c r="A54" s="3">
        <v>41496</v>
      </c>
    </row>
    <row r="55" spans="1:1" x14ac:dyDescent="0.25">
      <c r="A55" s="3">
        <v>41497</v>
      </c>
    </row>
    <row r="56" spans="1:1" x14ac:dyDescent="0.25">
      <c r="A56" s="3">
        <v>41498</v>
      </c>
    </row>
    <row r="57" spans="1:1" x14ac:dyDescent="0.25">
      <c r="A57" s="3">
        <v>41499</v>
      </c>
    </row>
    <row r="58" spans="1:1" x14ac:dyDescent="0.25">
      <c r="A58" s="3">
        <v>41500</v>
      </c>
    </row>
    <row r="59" spans="1:1" x14ac:dyDescent="0.25">
      <c r="A59" s="3">
        <v>41501</v>
      </c>
    </row>
    <row r="60" spans="1:1" x14ac:dyDescent="0.25">
      <c r="A60" s="3">
        <v>41502</v>
      </c>
    </row>
    <row r="61" spans="1:1" x14ac:dyDescent="0.25">
      <c r="A61" s="3">
        <v>41503</v>
      </c>
    </row>
    <row r="62" spans="1:1" x14ac:dyDescent="0.25">
      <c r="A62" s="3">
        <v>41504</v>
      </c>
    </row>
    <row r="63" spans="1:1" x14ac:dyDescent="0.25">
      <c r="A63" s="3">
        <v>41505</v>
      </c>
    </row>
    <row r="64" spans="1:1" x14ac:dyDescent="0.25">
      <c r="A64" s="3">
        <v>41506</v>
      </c>
    </row>
    <row r="65" spans="1:1" x14ac:dyDescent="0.25">
      <c r="A65" s="3">
        <v>41507</v>
      </c>
    </row>
    <row r="66" spans="1:1" x14ac:dyDescent="0.25">
      <c r="A66" s="3">
        <v>41508</v>
      </c>
    </row>
    <row r="67" spans="1:1" x14ac:dyDescent="0.25">
      <c r="A67" s="3">
        <v>41509</v>
      </c>
    </row>
    <row r="68" spans="1:1" x14ac:dyDescent="0.25">
      <c r="A68" s="3">
        <v>41510</v>
      </c>
    </row>
    <row r="69" spans="1:1" x14ac:dyDescent="0.25">
      <c r="A69" s="3">
        <v>41511</v>
      </c>
    </row>
    <row r="70" spans="1:1" x14ac:dyDescent="0.25">
      <c r="A70" s="3">
        <v>41512</v>
      </c>
    </row>
    <row r="71" spans="1:1" x14ac:dyDescent="0.25">
      <c r="A71" s="3">
        <v>41513</v>
      </c>
    </row>
    <row r="72" spans="1:1" x14ac:dyDescent="0.25">
      <c r="A72" s="3">
        <v>41514</v>
      </c>
    </row>
    <row r="73" spans="1:1" x14ac:dyDescent="0.25">
      <c r="A73" s="3">
        <v>41515</v>
      </c>
    </row>
    <row r="74" spans="1:1" x14ac:dyDescent="0.25">
      <c r="A74" s="3">
        <v>41516</v>
      </c>
    </row>
    <row r="75" spans="1:1" x14ac:dyDescent="0.25">
      <c r="A75" s="3">
        <v>41517</v>
      </c>
    </row>
    <row r="76" spans="1:1" x14ac:dyDescent="0.25">
      <c r="A76" s="3">
        <v>41518</v>
      </c>
    </row>
    <row r="77" spans="1:1" x14ac:dyDescent="0.25">
      <c r="A77" s="3">
        <v>41519</v>
      </c>
    </row>
    <row r="78" spans="1:1" x14ac:dyDescent="0.25">
      <c r="A78" s="3">
        <v>41520</v>
      </c>
    </row>
    <row r="79" spans="1:1" x14ac:dyDescent="0.25">
      <c r="A79" s="3">
        <v>41521</v>
      </c>
    </row>
    <row r="80" spans="1:1" x14ac:dyDescent="0.25">
      <c r="A80" s="3">
        <v>41522</v>
      </c>
    </row>
    <row r="81" spans="1:1" x14ac:dyDescent="0.25">
      <c r="A81" s="3">
        <v>41523</v>
      </c>
    </row>
    <row r="82" spans="1:1" x14ac:dyDescent="0.25">
      <c r="A82" s="3">
        <v>41524</v>
      </c>
    </row>
    <row r="83" spans="1:1" x14ac:dyDescent="0.25">
      <c r="A83" s="3">
        <v>41525</v>
      </c>
    </row>
    <row r="84" spans="1:1" x14ac:dyDescent="0.25">
      <c r="A84" s="3">
        <v>41526</v>
      </c>
    </row>
    <row r="85" spans="1:1" x14ac:dyDescent="0.25">
      <c r="A85" s="3">
        <v>41527</v>
      </c>
    </row>
    <row r="86" spans="1:1" x14ac:dyDescent="0.25">
      <c r="A86" s="3">
        <v>41528</v>
      </c>
    </row>
    <row r="87" spans="1:1" x14ac:dyDescent="0.25">
      <c r="A87" s="3">
        <v>41529</v>
      </c>
    </row>
    <row r="88" spans="1:1" x14ac:dyDescent="0.25">
      <c r="A88" s="3">
        <v>41530</v>
      </c>
    </row>
    <row r="89" spans="1:1" x14ac:dyDescent="0.25">
      <c r="A89" s="3">
        <v>41531</v>
      </c>
    </row>
    <row r="90" spans="1:1" x14ac:dyDescent="0.25">
      <c r="A90" s="3">
        <v>41532</v>
      </c>
    </row>
    <row r="91" spans="1:1" x14ac:dyDescent="0.25">
      <c r="A91" s="3">
        <v>41533</v>
      </c>
    </row>
    <row r="92" spans="1:1" x14ac:dyDescent="0.25">
      <c r="A92" s="3">
        <v>41534</v>
      </c>
    </row>
    <row r="93" spans="1:1" x14ac:dyDescent="0.25">
      <c r="A93" s="3">
        <v>41535</v>
      </c>
    </row>
    <row r="94" spans="1:1" x14ac:dyDescent="0.25">
      <c r="A94" s="3">
        <v>41536</v>
      </c>
    </row>
    <row r="95" spans="1:1" x14ac:dyDescent="0.25">
      <c r="A95" s="3">
        <v>41537</v>
      </c>
    </row>
    <row r="96" spans="1:1" x14ac:dyDescent="0.25">
      <c r="A96" s="3">
        <v>41538</v>
      </c>
    </row>
    <row r="97" spans="1:1" x14ac:dyDescent="0.25">
      <c r="A97" s="3">
        <v>41539</v>
      </c>
    </row>
    <row r="98" spans="1:1" x14ac:dyDescent="0.25">
      <c r="A98" s="3">
        <v>41540</v>
      </c>
    </row>
    <row r="99" spans="1:1" x14ac:dyDescent="0.25">
      <c r="A99" s="3">
        <v>41541</v>
      </c>
    </row>
    <row r="100" spans="1:1" x14ac:dyDescent="0.25">
      <c r="A100" s="3">
        <v>41542</v>
      </c>
    </row>
    <row r="101" spans="1:1" x14ac:dyDescent="0.25">
      <c r="A101" s="3">
        <v>41543</v>
      </c>
    </row>
    <row r="102" spans="1:1" x14ac:dyDescent="0.25">
      <c r="A102" s="3">
        <v>41544</v>
      </c>
    </row>
    <row r="103" spans="1:1" x14ac:dyDescent="0.25">
      <c r="A103" s="3">
        <v>41545</v>
      </c>
    </row>
    <row r="104" spans="1:1" x14ac:dyDescent="0.25">
      <c r="A104" s="3">
        <v>41546</v>
      </c>
    </row>
    <row r="105" spans="1:1" x14ac:dyDescent="0.25">
      <c r="A105" s="3">
        <v>41547</v>
      </c>
    </row>
    <row r="106" spans="1:1" x14ac:dyDescent="0.25">
      <c r="A106" s="3">
        <v>41548</v>
      </c>
    </row>
    <row r="107" spans="1:1" x14ac:dyDescent="0.25">
      <c r="A107" s="3">
        <v>41549</v>
      </c>
    </row>
    <row r="108" spans="1:1" x14ac:dyDescent="0.25">
      <c r="A108" s="3">
        <v>41550</v>
      </c>
    </row>
    <row r="109" spans="1:1" x14ac:dyDescent="0.25">
      <c r="A109" s="3">
        <v>41551</v>
      </c>
    </row>
    <row r="110" spans="1:1" x14ac:dyDescent="0.25">
      <c r="A110" s="3">
        <v>41552</v>
      </c>
    </row>
    <row r="111" spans="1:1" x14ac:dyDescent="0.25">
      <c r="A111" s="3">
        <v>41553</v>
      </c>
    </row>
    <row r="112" spans="1:1" x14ac:dyDescent="0.25">
      <c r="A112" s="3">
        <v>41554</v>
      </c>
    </row>
    <row r="113" spans="1:1" x14ac:dyDescent="0.25">
      <c r="A113" s="3">
        <v>41555</v>
      </c>
    </row>
    <row r="114" spans="1:1" x14ac:dyDescent="0.25">
      <c r="A114" s="3">
        <v>41556</v>
      </c>
    </row>
    <row r="115" spans="1:1" x14ac:dyDescent="0.25">
      <c r="A115" s="3">
        <v>41557</v>
      </c>
    </row>
    <row r="116" spans="1:1" x14ac:dyDescent="0.25">
      <c r="A116" s="3">
        <v>41558</v>
      </c>
    </row>
    <row r="117" spans="1:1" x14ac:dyDescent="0.25">
      <c r="A117" s="3">
        <v>41559</v>
      </c>
    </row>
    <row r="118" spans="1:1" x14ac:dyDescent="0.25">
      <c r="A118" s="3">
        <v>41560</v>
      </c>
    </row>
    <row r="119" spans="1:1" x14ac:dyDescent="0.25">
      <c r="A119" s="3">
        <v>41561</v>
      </c>
    </row>
    <row r="120" spans="1:1" x14ac:dyDescent="0.25">
      <c r="A120" s="3">
        <v>41562</v>
      </c>
    </row>
    <row r="121" spans="1:1" x14ac:dyDescent="0.25">
      <c r="A121" s="3">
        <v>41563</v>
      </c>
    </row>
    <row r="122" spans="1:1" x14ac:dyDescent="0.25">
      <c r="A122" s="3">
        <v>41564</v>
      </c>
    </row>
    <row r="123" spans="1:1" x14ac:dyDescent="0.25">
      <c r="A123" s="3">
        <v>41565</v>
      </c>
    </row>
    <row r="124" spans="1:1" x14ac:dyDescent="0.25">
      <c r="A124" s="3">
        <v>41566</v>
      </c>
    </row>
    <row r="125" spans="1:1" x14ac:dyDescent="0.25">
      <c r="A125" s="3">
        <v>41567</v>
      </c>
    </row>
    <row r="126" spans="1:1" x14ac:dyDescent="0.25">
      <c r="A126" s="3">
        <v>41568</v>
      </c>
    </row>
    <row r="127" spans="1:1" x14ac:dyDescent="0.25">
      <c r="A127" s="3">
        <v>41569</v>
      </c>
    </row>
    <row r="128" spans="1:1" x14ac:dyDescent="0.25">
      <c r="A128" s="3">
        <v>41570</v>
      </c>
    </row>
    <row r="129" spans="1:1" x14ac:dyDescent="0.25">
      <c r="A129" s="3">
        <v>41571</v>
      </c>
    </row>
    <row r="130" spans="1:1" x14ac:dyDescent="0.25">
      <c r="A130" s="3">
        <v>41572</v>
      </c>
    </row>
    <row r="131" spans="1:1" x14ac:dyDescent="0.25">
      <c r="A131" s="3">
        <v>41573</v>
      </c>
    </row>
    <row r="132" spans="1:1" x14ac:dyDescent="0.25">
      <c r="A132" s="3">
        <v>41574</v>
      </c>
    </row>
    <row r="133" spans="1:1" x14ac:dyDescent="0.25">
      <c r="A133" s="3">
        <v>41575</v>
      </c>
    </row>
    <row r="134" spans="1:1" x14ac:dyDescent="0.25">
      <c r="A134" s="3">
        <v>41576</v>
      </c>
    </row>
    <row r="135" spans="1:1" x14ac:dyDescent="0.25">
      <c r="A135" s="3">
        <v>41577</v>
      </c>
    </row>
    <row r="136" spans="1:1" x14ac:dyDescent="0.25">
      <c r="A136" s="3">
        <v>41578</v>
      </c>
    </row>
    <row r="137" spans="1:1" x14ac:dyDescent="0.25">
      <c r="A137" s="3">
        <v>41579</v>
      </c>
    </row>
    <row r="138" spans="1:1" x14ac:dyDescent="0.25">
      <c r="A138" s="3">
        <v>41580</v>
      </c>
    </row>
    <row r="139" spans="1:1" x14ac:dyDescent="0.25">
      <c r="A139" s="3">
        <v>41581</v>
      </c>
    </row>
    <row r="140" spans="1:1" x14ac:dyDescent="0.25">
      <c r="A140" s="3">
        <v>41582</v>
      </c>
    </row>
    <row r="141" spans="1:1" x14ac:dyDescent="0.25">
      <c r="A141" s="3">
        <v>41583</v>
      </c>
    </row>
    <row r="142" spans="1:1" x14ac:dyDescent="0.25">
      <c r="A142" s="3">
        <v>41584</v>
      </c>
    </row>
    <row r="143" spans="1:1" x14ac:dyDescent="0.25">
      <c r="A143" s="3">
        <v>41585</v>
      </c>
    </row>
    <row r="144" spans="1:1" x14ac:dyDescent="0.25">
      <c r="A144" s="3">
        <v>41586</v>
      </c>
    </row>
    <row r="145" spans="1:1" x14ac:dyDescent="0.25">
      <c r="A145" s="3">
        <v>41587</v>
      </c>
    </row>
    <row r="146" spans="1:1" x14ac:dyDescent="0.25">
      <c r="A146" s="3">
        <v>41588</v>
      </c>
    </row>
    <row r="147" spans="1:1" x14ac:dyDescent="0.25">
      <c r="A147" s="3">
        <v>41589</v>
      </c>
    </row>
    <row r="148" spans="1:1" x14ac:dyDescent="0.25">
      <c r="A148" s="3">
        <v>41590</v>
      </c>
    </row>
    <row r="149" spans="1:1" x14ac:dyDescent="0.25">
      <c r="A149" s="3">
        <v>41591</v>
      </c>
    </row>
    <row r="150" spans="1:1" x14ac:dyDescent="0.25">
      <c r="A150" s="3">
        <v>41592</v>
      </c>
    </row>
    <row r="151" spans="1:1" x14ac:dyDescent="0.25">
      <c r="A151" s="3">
        <v>41593</v>
      </c>
    </row>
    <row r="152" spans="1:1" x14ac:dyDescent="0.25">
      <c r="A152" s="3">
        <v>41594</v>
      </c>
    </row>
    <row r="153" spans="1:1" x14ac:dyDescent="0.25">
      <c r="A153" s="3">
        <v>41595</v>
      </c>
    </row>
    <row r="154" spans="1:1" x14ac:dyDescent="0.25">
      <c r="A154" s="3">
        <v>41596</v>
      </c>
    </row>
    <row r="155" spans="1:1" x14ac:dyDescent="0.25">
      <c r="A155" s="3">
        <v>41597</v>
      </c>
    </row>
    <row r="156" spans="1:1" x14ac:dyDescent="0.25">
      <c r="A156" s="3">
        <v>41598</v>
      </c>
    </row>
    <row r="157" spans="1:1" x14ac:dyDescent="0.25">
      <c r="A157" s="3">
        <v>41599</v>
      </c>
    </row>
    <row r="158" spans="1:1" x14ac:dyDescent="0.25">
      <c r="A158" s="3">
        <v>41600</v>
      </c>
    </row>
    <row r="159" spans="1:1" x14ac:dyDescent="0.25">
      <c r="A159" s="3">
        <v>41601</v>
      </c>
    </row>
    <row r="160" spans="1:1" x14ac:dyDescent="0.25">
      <c r="A160" s="3">
        <v>41602</v>
      </c>
    </row>
    <row r="161" spans="1:1" x14ac:dyDescent="0.25">
      <c r="A161" s="3">
        <v>41603</v>
      </c>
    </row>
    <row r="162" spans="1:1" x14ac:dyDescent="0.25">
      <c r="A162" s="3">
        <v>41604</v>
      </c>
    </row>
    <row r="163" spans="1:1" x14ac:dyDescent="0.25">
      <c r="A163" s="3">
        <v>41605</v>
      </c>
    </row>
    <row r="164" spans="1:1" x14ac:dyDescent="0.25">
      <c r="A164" s="3">
        <v>41606</v>
      </c>
    </row>
    <row r="165" spans="1:1" x14ac:dyDescent="0.25">
      <c r="A165" s="3">
        <v>41607</v>
      </c>
    </row>
    <row r="166" spans="1:1" x14ac:dyDescent="0.25">
      <c r="A166" s="3">
        <v>41608</v>
      </c>
    </row>
    <row r="167" spans="1:1" x14ac:dyDescent="0.25">
      <c r="A167" s="3">
        <v>41609</v>
      </c>
    </row>
    <row r="168" spans="1:1" x14ac:dyDescent="0.25">
      <c r="A168" s="3">
        <v>41610</v>
      </c>
    </row>
    <row r="169" spans="1:1" x14ac:dyDescent="0.25">
      <c r="A169" s="3">
        <v>41611</v>
      </c>
    </row>
    <row r="170" spans="1:1" x14ac:dyDescent="0.25">
      <c r="A170" s="3">
        <v>41612</v>
      </c>
    </row>
    <row r="171" spans="1:1" x14ac:dyDescent="0.25">
      <c r="A171" s="3">
        <v>41613</v>
      </c>
    </row>
    <row r="172" spans="1:1" x14ac:dyDescent="0.25">
      <c r="A172" s="3">
        <v>41614</v>
      </c>
    </row>
    <row r="173" spans="1:1" x14ac:dyDescent="0.25">
      <c r="A173" s="3">
        <v>41615</v>
      </c>
    </row>
    <row r="174" spans="1:1" x14ac:dyDescent="0.25">
      <c r="A174" s="3">
        <v>41616</v>
      </c>
    </row>
    <row r="175" spans="1:1" x14ac:dyDescent="0.25">
      <c r="A175" s="3">
        <v>41617</v>
      </c>
    </row>
    <row r="176" spans="1:1" x14ac:dyDescent="0.25">
      <c r="A176" s="3">
        <v>41618</v>
      </c>
    </row>
    <row r="177" spans="1:1" x14ac:dyDescent="0.25">
      <c r="A177" s="3">
        <v>41619</v>
      </c>
    </row>
    <row r="178" spans="1:1" x14ac:dyDescent="0.25">
      <c r="A178" s="3">
        <v>41620</v>
      </c>
    </row>
    <row r="179" spans="1:1" x14ac:dyDescent="0.25">
      <c r="A179" s="3">
        <v>41621</v>
      </c>
    </row>
    <row r="180" spans="1:1" x14ac:dyDescent="0.25">
      <c r="A180" s="3">
        <v>41622</v>
      </c>
    </row>
    <row r="181" spans="1:1" x14ac:dyDescent="0.25">
      <c r="A181" s="3">
        <v>41623</v>
      </c>
    </row>
    <row r="182" spans="1:1" x14ac:dyDescent="0.25">
      <c r="A182" s="3">
        <v>41624</v>
      </c>
    </row>
    <row r="183" spans="1:1" x14ac:dyDescent="0.25">
      <c r="A183" s="3">
        <v>41625</v>
      </c>
    </row>
    <row r="184" spans="1:1" x14ac:dyDescent="0.25">
      <c r="A184" s="3">
        <v>41626</v>
      </c>
    </row>
    <row r="185" spans="1:1" x14ac:dyDescent="0.25">
      <c r="A185" s="3">
        <v>41627</v>
      </c>
    </row>
    <row r="186" spans="1:1" x14ac:dyDescent="0.25">
      <c r="A186" s="3">
        <v>41628</v>
      </c>
    </row>
    <row r="187" spans="1:1" x14ac:dyDescent="0.25">
      <c r="A187" s="3">
        <v>41629</v>
      </c>
    </row>
    <row r="188" spans="1:1" x14ac:dyDescent="0.25">
      <c r="A188" s="3">
        <v>41630</v>
      </c>
    </row>
    <row r="189" spans="1:1" x14ac:dyDescent="0.25">
      <c r="A189" s="3">
        <v>41631</v>
      </c>
    </row>
    <row r="190" spans="1:1" x14ac:dyDescent="0.25">
      <c r="A190" s="3">
        <v>41632</v>
      </c>
    </row>
    <row r="191" spans="1:1" x14ac:dyDescent="0.25">
      <c r="A191" s="3">
        <v>41633</v>
      </c>
    </row>
    <row r="192" spans="1:1" x14ac:dyDescent="0.25">
      <c r="A192" s="3">
        <v>41634</v>
      </c>
    </row>
    <row r="193" spans="1:1" x14ac:dyDescent="0.25">
      <c r="A193" s="3">
        <v>41635</v>
      </c>
    </row>
    <row r="194" spans="1:1" x14ac:dyDescent="0.25">
      <c r="A194" s="3">
        <v>41636</v>
      </c>
    </row>
    <row r="195" spans="1:1" x14ac:dyDescent="0.25">
      <c r="A195" s="3">
        <v>41637</v>
      </c>
    </row>
    <row r="196" spans="1:1" x14ac:dyDescent="0.25">
      <c r="A196" s="3">
        <v>41638</v>
      </c>
    </row>
    <row r="197" spans="1:1" x14ac:dyDescent="0.25">
      <c r="A197" s="3">
        <v>41639</v>
      </c>
    </row>
    <row r="198" spans="1:1" x14ac:dyDescent="0.25">
      <c r="A198" s="3">
        <v>41640</v>
      </c>
    </row>
    <row r="199" spans="1:1" x14ac:dyDescent="0.25">
      <c r="A199" s="3">
        <v>41641</v>
      </c>
    </row>
    <row r="200" spans="1:1" x14ac:dyDescent="0.25">
      <c r="A200" s="3">
        <v>41642</v>
      </c>
    </row>
    <row r="201" spans="1:1" x14ac:dyDescent="0.25">
      <c r="A201" s="3">
        <v>41643</v>
      </c>
    </row>
    <row r="202" spans="1:1" x14ac:dyDescent="0.25">
      <c r="A202" s="3">
        <v>41644</v>
      </c>
    </row>
    <row r="203" spans="1:1" x14ac:dyDescent="0.25">
      <c r="A203" s="3">
        <v>41645</v>
      </c>
    </row>
    <row r="204" spans="1:1" x14ac:dyDescent="0.25">
      <c r="A204" s="3">
        <v>41646</v>
      </c>
    </row>
    <row r="205" spans="1:1" x14ac:dyDescent="0.25">
      <c r="A205" s="3">
        <v>41647</v>
      </c>
    </row>
    <row r="206" spans="1:1" x14ac:dyDescent="0.25">
      <c r="A206" s="3">
        <v>41648</v>
      </c>
    </row>
    <row r="207" spans="1:1" x14ac:dyDescent="0.25">
      <c r="A207" s="3">
        <v>41649</v>
      </c>
    </row>
    <row r="208" spans="1:1" x14ac:dyDescent="0.25">
      <c r="A208" s="3">
        <v>41650</v>
      </c>
    </row>
    <row r="209" spans="1:1" x14ac:dyDescent="0.25">
      <c r="A209" s="3">
        <v>41651</v>
      </c>
    </row>
    <row r="210" spans="1:1" x14ac:dyDescent="0.25">
      <c r="A210" s="3">
        <v>41652</v>
      </c>
    </row>
    <row r="211" spans="1:1" x14ac:dyDescent="0.25">
      <c r="A211" s="3">
        <v>41653</v>
      </c>
    </row>
    <row r="212" spans="1:1" x14ac:dyDescent="0.25">
      <c r="A212" s="3">
        <v>41654</v>
      </c>
    </row>
    <row r="213" spans="1:1" x14ac:dyDescent="0.25">
      <c r="A213" s="3">
        <v>41655</v>
      </c>
    </row>
    <row r="214" spans="1:1" x14ac:dyDescent="0.25">
      <c r="A214" s="3">
        <v>41656</v>
      </c>
    </row>
    <row r="215" spans="1:1" x14ac:dyDescent="0.25">
      <c r="A215" s="3">
        <v>41657</v>
      </c>
    </row>
    <row r="216" spans="1:1" x14ac:dyDescent="0.25">
      <c r="A216" s="3">
        <v>41658</v>
      </c>
    </row>
    <row r="217" spans="1:1" x14ac:dyDescent="0.25">
      <c r="A217" s="3">
        <v>41659</v>
      </c>
    </row>
    <row r="218" spans="1:1" x14ac:dyDescent="0.25">
      <c r="A218" s="3">
        <v>41660</v>
      </c>
    </row>
    <row r="219" spans="1:1" x14ac:dyDescent="0.25">
      <c r="A219" s="3">
        <v>41661</v>
      </c>
    </row>
    <row r="220" spans="1:1" x14ac:dyDescent="0.25">
      <c r="A220" s="3">
        <v>41662</v>
      </c>
    </row>
    <row r="221" spans="1:1" x14ac:dyDescent="0.25">
      <c r="A221" s="3">
        <v>41663</v>
      </c>
    </row>
    <row r="222" spans="1:1" x14ac:dyDescent="0.25">
      <c r="A222" s="3">
        <v>41664</v>
      </c>
    </row>
    <row r="223" spans="1:1" x14ac:dyDescent="0.25">
      <c r="A223" s="3">
        <v>41665</v>
      </c>
    </row>
    <row r="224" spans="1:1" x14ac:dyDescent="0.25">
      <c r="A224" s="3">
        <v>41666</v>
      </c>
    </row>
    <row r="225" spans="1:1" x14ac:dyDescent="0.25">
      <c r="A225" s="3">
        <v>41667</v>
      </c>
    </row>
    <row r="226" spans="1:1" x14ac:dyDescent="0.25">
      <c r="A226" s="3">
        <v>41668</v>
      </c>
    </row>
    <row r="227" spans="1:1" x14ac:dyDescent="0.25">
      <c r="A227" s="3">
        <v>41669</v>
      </c>
    </row>
    <row r="228" spans="1:1" x14ac:dyDescent="0.25">
      <c r="A228" s="3">
        <v>41670</v>
      </c>
    </row>
    <row r="229" spans="1:1" x14ac:dyDescent="0.25">
      <c r="A229" s="3">
        <v>41671</v>
      </c>
    </row>
    <row r="230" spans="1:1" x14ac:dyDescent="0.25">
      <c r="A230" s="3">
        <v>41672</v>
      </c>
    </row>
    <row r="231" spans="1:1" x14ac:dyDescent="0.25">
      <c r="A231" s="3">
        <v>41673</v>
      </c>
    </row>
    <row r="232" spans="1:1" x14ac:dyDescent="0.25">
      <c r="A232" s="3">
        <v>41674</v>
      </c>
    </row>
    <row r="233" spans="1:1" x14ac:dyDescent="0.25">
      <c r="A233" s="3">
        <v>41675</v>
      </c>
    </row>
    <row r="234" spans="1:1" x14ac:dyDescent="0.25">
      <c r="A234" s="3">
        <v>41676</v>
      </c>
    </row>
    <row r="235" spans="1:1" x14ac:dyDescent="0.25">
      <c r="A235" s="3">
        <v>41677</v>
      </c>
    </row>
    <row r="236" spans="1:1" x14ac:dyDescent="0.25">
      <c r="A236" s="3">
        <v>41678</v>
      </c>
    </row>
    <row r="237" spans="1:1" x14ac:dyDescent="0.25">
      <c r="A237" s="3">
        <v>41679</v>
      </c>
    </row>
    <row r="238" spans="1:1" x14ac:dyDescent="0.25">
      <c r="A238" s="3">
        <v>41680</v>
      </c>
    </row>
    <row r="239" spans="1:1" x14ac:dyDescent="0.25">
      <c r="A239" s="3">
        <v>41681</v>
      </c>
    </row>
    <row r="240" spans="1:1" x14ac:dyDescent="0.25">
      <c r="A240" s="3">
        <v>41682</v>
      </c>
    </row>
    <row r="241" spans="1:1" x14ac:dyDescent="0.25">
      <c r="A241" s="3">
        <v>41683</v>
      </c>
    </row>
    <row r="242" spans="1:1" x14ac:dyDescent="0.25">
      <c r="A242" s="3">
        <v>41684</v>
      </c>
    </row>
    <row r="243" spans="1:1" x14ac:dyDescent="0.25">
      <c r="A243" s="3">
        <v>41685</v>
      </c>
    </row>
    <row r="244" spans="1:1" x14ac:dyDescent="0.25">
      <c r="A244" s="3">
        <v>41686</v>
      </c>
    </row>
    <row r="245" spans="1:1" x14ac:dyDescent="0.25">
      <c r="A245" s="3">
        <v>41687</v>
      </c>
    </row>
    <row r="246" spans="1:1" x14ac:dyDescent="0.25">
      <c r="A246" s="3">
        <v>41688</v>
      </c>
    </row>
    <row r="247" spans="1:1" x14ac:dyDescent="0.25">
      <c r="A247" s="3">
        <v>41689</v>
      </c>
    </row>
    <row r="248" spans="1:1" x14ac:dyDescent="0.25">
      <c r="A248" s="3">
        <v>41690</v>
      </c>
    </row>
    <row r="249" spans="1:1" x14ac:dyDescent="0.25">
      <c r="A249" s="3">
        <v>41691</v>
      </c>
    </row>
    <row r="250" spans="1:1" x14ac:dyDescent="0.25">
      <c r="A250" s="3">
        <v>41692</v>
      </c>
    </row>
    <row r="251" spans="1:1" x14ac:dyDescent="0.25">
      <c r="A251" s="3">
        <v>41693</v>
      </c>
    </row>
    <row r="252" spans="1:1" x14ac:dyDescent="0.25">
      <c r="A252" s="3">
        <v>41694</v>
      </c>
    </row>
    <row r="253" spans="1:1" x14ac:dyDescent="0.25">
      <c r="A253" s="3">
        <v>41695</v>
      </c>
    </row>
    <row r="254" spans="1:1" x14ac:dyDescent="0.25">
      <c r="A254" s="3">
        <v>41696</v>
      </c>
    </row>
    <row r="255" spans="1:1" x14ac:dyDescent="0.25">
      <c r="A255" s="3">
        <v>41697</v>
      </c>
    </row>
    <row r="256" spans="1:1" x14ac:dyDescent="0.25">
      <c r="A256" s="3">
        <v>41698</v>
      </c>
    </row>
    <row r="257" spans="1:1" x14ac:dyDescent="0.25">
      <c r="A257" s="3">
        <v>41699</v>
      </c>
    </row>
    <row r="258" spans="1:1" x14ac:dyDescent="0.25">
      <c r="A258" s="3">
        <v>41700</v>
      </c>
    </row>
    <row r="259" spans="1:1" x14ac:dyDescent="0.25">
      <c r="A259" s="3">
        <v>41701</v>
      </c>
    </row>
    <row r="260" spans="1:1" x14ac:dyDescent="0.25">
      <c r="A260" s="3">
        <v>41702</v>
      </c>
    </row>
    <row r="261" spans="1:1" x14ac:dyDescent="0.25">
      <c r="A261" s="3">
        <v>41703</v>
      </c>
    </row>
    <row r="262" spans="1:1" x14ac:dyDescent="0.25">
      <c r="A262" s="3">
        <v>41704</v>
      </c>
    </row>
    <row r="263" spans="1:1" x14ac:dyDescent="0.25">
      <c r="A263" s="3">
        <v>41705</v>
      </c>
    </row>
    <row r="264" spans="1:1" x14ac:dyDescent="0.25">
      <c r="A264" s="3">
        <v>41706</v>
      </c>
    </row>
    <row r="265" spans="1:1" x14ac:dyDescent="0.25">
      <c r="A265" s="3">
        <v>41707</v>
      </c>
    </row>
    <row r="266" spans="1:1" x14ac:dyDescent="0.25">
      <c r="A266" s="3">
        <v>41708</v>
      </c>
    </row>
    <row r="267" spans="1:1" x14ac:dyDescent="0.25">
      <c r="A267" s="3">
        <v>41709</v>
      </c>
    </row>
    <row r="268" spans="1:1" x14ac:dyDescent="0.25">
      <c r="A268" s="3">
        <v>41710</v>
      </c>
    </row>
    <row r="269" spans="1:1" x14ac:dyDescent="0.25">
      <c r="A269" s="3">
        <v>41711</v>
      </c>
    </row>
    <row r="270" spans="1:1" x14ac:dyDescent="0.25">
      <c r="A270" s="3">
        <v>41712</v>
      </c>
    </row>
    <row r="271" spans="1:1" x14ac:dyDescent="0.25">
      <c r="A271" s="3">
        <v>41713</v>
      </c>
    </row>
    <row r="272" spans="1:1" x14ac:dyDescent="0.25">
      <c r="A272" s="3">
        <v>41714</v>
      </c>
    </row>
    <row r="273" spans="1:1" x14ac:dyDescent="0.25">
      <c r="A273" s="3">
        <v>41715</v>
      </c>
    </row>
    <row r="274" spans="1:1" x14ac:dyDescent="0.25">
      <c r="A274" s="3">
        <v>41716</v>
      </c>
    </row>
    <row r="275" spans="1:1" x14ac:dyDescent="0.25">
      <c r="A275" s="3">
        <v>41717</v>
      </c>
    </row>
    <row r="276" spans="1:1" x14ac:dyDescent="0.25">
      <c r="A276" s="3">
        <v>41718</v>
      </c>
    </row>
    <row r="277" spans="1:1" x14ac:dyDescent="0.25">
      <c r="A277" s="3">
        <v>41719</v>
      </c>
    </row>
    <row r="278" spans="1:1" x14ac:dyDescent="0.25">
      <c r="A278" s="3">
        <v>41720</v>
      </c>
    </row>
    <row r="279" spans="1:1" x14ac:dyDescent="0.25">
      <c r="A279" s="3">
        <v>41721</v>
      </c>
    </row>
    <row r="280" spans="1:1" x14ac:dyDescent="0.25">
      <c r="A280" s="3">
        <v>41722</v>
      </c>
    </row>
    <row r="281" spans="1:1" x14ac:dyDescent="0.25">
      <c r="A281" s="3">
        <v>41723</v>
      </c>
    </row>
    <row r="282" spans="1:1" x14ac:dyDescent="0.25">
      <c r="A282" s="3">
        <v>41724</v>
      </c>
    </row>
    <row r="283" spans="1:1" x14ac:dyDescent="0.25">
      <c r="A283" s="3">
        <v>41725</v>
      </c>
    </row>
    <row r="284" spans="1:1" x14ac:dyDescent="0.25">
      <c r="A284" s="3">
        <v>41726</v>
      </c>
    </row>
    <row r="285" spans="1:1" x14ac:dyDescent="0.25">
      <c r="A285" s="3">
        <v>41727</v>
      </c>
    </row>
    <row r="286" spans="1:1" x14ac:dyDescent="0.25">
      <c r="A286" s="3">
        <v>41728</v>
      </c>
    </row>
    <row r="287" spans="1:1" x14ac:dyDescent="0.25">
      <c r="A287" s="3">
        <v>41729</v>
      </c>
    </row>
    <row r="288" spans="1:1" x14ac:dyDescent="0.25">
      <c r="A288" s="3">
        <v>41730</v>
      </c>
    </row>
    <row r="289" spans="1:1" x14ac:dyDescent="0.25">
      <c r="A289" s="3">
        <v>41731</v>
      </c>
    </row>
    <row r="290" spans="1:1" x14ac:dyDescent="0.25">
      <c r="A290" s="3">
        <v>41732</v>
      </c>
    </row>
    <row r="291" spans="1:1" x14ac:dyDescent="0.25">
      <c r="A291" s="3">
        <v>41733</v>
      </c>
    </row>
    <row r="292" spans="1:1" x14ac:dyDescent="0.25">
      <c r="A292" s="3">
        <v>41734</v>
      </c>
    </row>
    <row r="293" spans="1:1" x14ac:dyDescent="0.25">
      <c r="A293" s="3">
        <v>41735</v>
      </c>
    </row>
    <row r="294" spans="1:1" x14ac:dyDescent="0.25">
      <c r="A294" s="3">
        <v>41736</v>
      </c>
    </row>
    <row r="295" spans="1:1" x14ac:dyDescent="0.25">
      <c r="A295" s="3">
        <v>41737</v>
      </c>
    </row>
    <row r="296" spans="1:1" x14ac:dyDescent="0.25">
      <c r="A296" s="3">
        <v>41738</v>
      </c>
    </row>
    <row r="297" spans="1:1" x14ac:dyDescent="0.25">
      <c r="A297" s="3">
        <v>41739</v>
      </c>
    </row>
    <row r="298" spans="1:1" x14ac:dyDescent="0.25">
      <c r="A298" s="3">
        <v>41740</v>
      </c>
    </row>
    <row r="299" spans="1:1" x14ac:dyDescent="0.25">
      <c r="A299" s="3">
        <v>41741</v>
      </c>
    </row>
    <row r="300" spans="1:1" x14ac:dyDescent="0.25">
      <c r="A300" s="3">
        <v>41742</v>
      </c>
    </row>
    <row r="301" spans="1:1" x14ac:dyDescent="0.25">
      <c r="A301" s="3">
        <v>41743</v>
      </c>
    </row>
    <row r="302" spans="1:1" x14ac:dyDescent="0.25">
      <c r="A302" s="3">
        <v>41744</v>
      </c>
    </row>
    <row r="303" spans="1:1" x14ac:dyDescent="0.25">
      <c r="A303" s="3">
        <v>41745</v>
      </c>
    </row>
    <row r="304" spans="1:1" x14ac:dyDescent="0.25">
      <c r="A304" s="3">
        <v>41746</v>
      </c>
    </row>
    <row r="305" spans="1:1" x14ac:dyDescent="0.25">
      <c r="A305" s="3">
        <v>41747</v>
      </c>
    </row>
    <row r="306" spans="1:1" x14ac:dyDescent="0.25">
      <c r="A306" s="3">
        <v>41748</v>
      </c>
    </row>
    <row r="307" spans="1:1" x14ac:dyDescent="0.25">
      <c r="A307" s="3">
        <v>41749</v>
      </c>
    </row>
    <row r="308" spans="1:1" x14ac:dyDescent="0.25">
      <c r="A308" s="3">
        <v>41750</v>
      </c>
    </row>
    <row r="309" spans="1:1" x14ac:dyDescent="0.25">
      <c r="A309" s="3">
        <v>41751</v>
      </c>
    </row>
    <row r="310" spans="1:1" x14ac:dyDescent="0.25">
      <c r="A310" s="3">
        <v>41752</v>
      </c>
    </row>
    <row r="311" spans="1:1" x14ac:dyDescent="0.25">
      <c r="A311" s="3">
        <v>41753</v>
      </c>
    </row>
    <row r="312" spans="1:1" x14ac:dyDescent="0.25">
      <c r="A312" s="3">
        <v>41754</v>
      </c>
    </row>
    <row r="313" spans="1:1" x14ac:dyDescent="0.25">
      <c r="A313" s="3">
        <v>41755</v>
      </c>
    </row>
    <row r="314" spans="1:1" x14ac:dyDescent="0.25">
      <c r="A314" s="3">
        <v>41756</v>
      </c>
    </row>
    <row r="315" spans="1:1" x14ac:dyDescent="0.25">
      <c r="A315" s="3">
        <v>41757</v>
      </c>
    </row>
    <row r="316" spans="1:1" x14ac:dyDescent="0.25">
      <c r="A316" s="3">
        <v>41758</v>
      </c>
    </row>
    <row r="317" spans="1:1" x14ac:dyDescent="0.25">
      <c r="A317" s="3">
        <v>41759</v>
      </c>
    </row>
    <row r="318" spans="1:1" x14ac:dyDescent="0.25">
      <c r="A318" s="3">
        <v>41760</v>
      </c>
    </row>
    <row r="319" spans="1:1" x14ac:dyDescent="0.25">
      <c r="A319" s="3">
        <v>41761</v>
      </c>
    </row>
    <row r="320" spans="1:1" x14ac:dyDescent="0.25">
      <c r="A320" s="3">
        <v>41762</v>
      </c>
    </row>
    <row r="321" spans="1:1" x14ac:dyDescent="0.25">
      <c r="A321" s="3">
        <v>41763</v>
      </c>
    </row>
    <row r="322" spans="1:1" x14ac:dyDescent="0.25">
      <c r="A322" s="3">
        <v>41764</v>
      </c>
    </row>
    <row r="323" spans="1:1" x14ac:dyDescent="0.25">
      <c r="A323" s="3">
        <v>41765</v>
      </c>
    </row>
    <row r="324" spans="1:1" x14ac:dyDescent="0.25">
      <c r="A324" s="3">
        <v>41766</v>
      </c>
    </row>
    <row r="325" spans="1:1" x14ac:dyDescent="0.25">
      <c r="A325" s="3">
        <v>41767</v>
      </c>
    </row>
    <row r="326" spans="1:1" x14ac:dyDescent="0.25">
      <c r="A326" s="3">
        <v>41768</v>
      </c>
    </row>
    <row r="327" spans="1:1" x14ac:dyDescent="0.25">
      <c r="A327" s="3">
        <v>41769</v>
      </c>
    </row>
    <row r="328" spans="1:1" x14ac:dyDescent="0.25">
      <c r="A328" s="3">
        <v>41770</v>
      </c>
    </row>
    <row r="329" spans="1:1" x14ac:dyDescent="0.25">
      <c r="A329" s="3">
        <v>41771</v>
      </c>
    </row>
    <row r="330" spans="1:1" x14ac:dyDescent="0.25">
      <c r="A330" s="3">
        <v>41772</v>
      </c>
    </row>
    <row r="331" spans="1:1" x14ac:dyDescent="0.25">
      <c r="A331" s="3">
        <v>41773</v>
      </c>
    </row>
    <row r="332" spans="1:1" x14ac:dyDescent="0.25">
      <c r="A332" s="3">
        <v>41774</v>
      </c>
    </row>
    <row r="333" spans="1:1" x14ac:dyDescent="0.25">
      <c r="A333" s="3">
        <v>41775</v>
      </c>
    </row>
    <row r="334" spans="1:1" x14ac:dyDescent="0.25">
      <c r="A334" s="3">
        <v>41776</v>
      </c>
    </row>
    <row r="335" spans="1:1" x14ac:dyDescent="0.25">
      <c r="A335" s="3">
        <v>41777</v>
      </c>
    </row>
    <row r="336" spans="1:1" x14ac:dyDescent="0.25">
      <c r="A336" s="3">
        <v>41778</v>
      </c>
    </row>
    <row r="337" spans="1:1" x14ac:dyDescent="0.25">
      <c r="A337" s="3">
        <v>41779</v>
      </c>
    </row>
    <row r="338" spans="1:1" x14ac:dyDescent="0.25">
      <c r="A338" s="3">
        <v>41780</v>
      </c>
    </row>
    <row r="339" spans="1:1" x14ac:dyDescent="0.25">
      <c r="A339" s="3">
        <v>41781</v>
      </c>
    </row>
    <row r="340" spans="1:1" x14ac:dyDescent="0.25">
      <c r="A340" s="3">
        <v>41782</v>
      </c>
    </row>
    <row r="341" spans="1:1" x14ac:dyDescent="0.25">
      <c r="A341" s="3">
        <v>41783</v>
      </c>
    </row>
    <row r="342" spans="1:1" x14ac:dyDescent="0.25">
      <c r="A342" s="3">
        <v>41784</v>
      </c>
    </row>
    <row r="343" spans="1:1" x14ac:dyDescent="0.25">
      <c r="A343" s="3">
        <v>41785</v>
      </c>
    </row>
    <row r="344" spans="1:1" x14ac:dyDescent="0.25">
      <c r="A344" s="3">
        <v>41786</v>
      </c>
    </row>
    <row r="345" spans="1:1" x14ac:dyDescent="0.25">
      <c r="A345" s="3">
        <v>41787</v>
      </c>
    </row>
    <row r="346" spans="1:1" x14ac:dyDescent="0.25">
      <c r="A346" s="3">
        <v>41788</v>
      </c>
    </row>
    <row r="347" spans="1:1" x14ac:dyDescent="0.25">
      <c r="A347" s="3">
        <v>41789</v>
      </c>
    </row>
    <row r="348" spans="1:1" x14ac:dyDescent="0.25">
      <c r="A348" s="3">
        <v>41790</v>
      </c>
    </row>
    <row r="349" spans="1:1" x14ac:dyDescent="0.25">
      <c r="A349" s="3">
        <v>41791</v>
      </c>
    </row>
    <row r="350" spans="1:1" x14ac:dyDescent="0.25">
      <c r="A350" s="3">
        <v>41792</v>
      </c>
    </row>
    <row r="351" spans="1:1" x14ac:dyDescent="0.25">
      <c r="A351" s="3">
        <v>41793</v>
      </c>
    </row>
    <row r="352" spans="1:1" x14ac:dyDescent="0.25">
      <c r="A352" s="3">
        <v>41794</v>
      </c>
    </row>
    <row r="353" spans="1:1" x14ac:dyDescent="0.25">
      <c r="A353" s="3">
        <v>41795</v>
      </c>
    </row>
    <row r="354" spans="1:1" x14ac:dyDescent="0.25">
      <c r="A354" s="3">
        <v>41796</v>
      </c>
    </row>
    <row r="355" spans="1:1" x14ac:dyDescent="0.25">
      <c r="A355" s="3">
        <v>41797</v>
      </c>
    </row>
    <row r="356" spans="1:1" x14ac:dyDescent="0.25">
      <c r="A356" s="3">
        <v>41798</v>
      </c>
    </row>
    <row r="357" spans="1:1" x14ac:dyDescent="0.25">
      <c r="A357" s="3">
        <v>41799</v>
      </c>
    </row>
    <row r="358" spans="1:1" x14ac:dyDescent="0.25">
      <c r="A358" s="3">
        <v>41800</v>
      </c>
    </row>
    <row r="359" spans="1:1" x14ac:dyDescent="0.25">
      <c r="A359" s="3">
        <v>41801</v>
      </c>
    </row>
    <row r="360" spans="1:1" x14ac:dyDescent="0.25">
      <c r="A360" s="3">
        <v>41802</v>
      </c>
    </row>
    <row r="361" spans="1:1" x14ac:dyDescent="0.25">
      <c r="A361" s="3">
        <v>41803</v>
      </c>
    </row>
    <row r="362" spans="1:1" x14ac:dyDescent="0.25">
      <c r="A362" s="3">
        <v>41804</v>
      </c>
    </row>
    <row r="363" spans="1:1" x14ac:dyDescent="0.25">
      <c r="A363" s="3">
        <v>41805</v>
      </c>
    </row>
    <row r="364" spans="1:1" x14ac:dyDescent="0.25">
      <c r="A364" s="3">
        <v>41806</v>
      </c>
    </row>
    <row r="365" spans="1:1" x14ac:dyDescent="0.25">
      <c r="A365" s="3">
        <v>41807</v>
      </c>
    </row>
    <row r="366" spans="1:1" x14ac:dyDescent="0.25">
      <c r="A366" s="3">
        <v>41808</v>
      </c>
    </row>
    <row r="367" spans="1:1" x14ac:dyDescent="0.25">
      <c r="A367" s="3">
        <v>41809</v>
      </c>
    </row>
    <row r="368" spans="1:1" x14ac:dyDescent="0.25">
      <c r="A368" s="3">
        <v>41810</v>
      </c>
    </row>
    <row r="369" spans="1:1" x14ac:dyDescent="0.25">
      <c r="A369" s="3">
        <v>41811</v>
      </c>
    </row>
    <row r="370" spans="1:1" x14ac:dyDescent="0.25">
      <c r="A370" s="3">
        <v>41812</v>
      </c>
    </row>
    <row r="371" spans="1:1" x14ac:dyDescent="0.25">
      <c r="A371" s="3">
        <v>41813</v>
      </c>
    </row>
    <row r="372" spans="1:1" x14ac:dyDescent="0.25">
      <c r="A372" s="3">
        <v>41814</v>
      </c>
    </row>
    <row r="373" spans="1:1" x14ac:dyDescent="0.25">
      <c r="A373" s="3">
        <v>41815</v>
      </c>
    </row>
    <row r="374" spans="1:1" x14ac:dyDescent="0.25">
      <c r="A374" s="3">
        <v>41816</v>
      </c>
    </row>
    <row r="375" spans="1:1" x14ac:dyDescent="0.25">
      <c r="A375" s="3">
        <v>41817</v>
      </c>
    </row>
    <row r="376" spans="1:1" x14ac:dyDescent="0.25">
      <c r="A376" s="3">
        <v>41818</v>
      </c>
    </row>
    <row r="377" spans="1:1" x14ac:dyDescent="0.25">
      <c r="A377" s="3">
        <v>41819</v>
      </c>
    </row>
    <row r="378" spans="1:1" x14ac:dyDescent="0.25">
      <c r="A378" s="3">
        <v>41820</v>
      </c>
    </row>
    <row r="379" spans="1:1" x14ac:dyDescent="0.25">
      <c r="A379" s="3">
        <v>41821</v>
      </c>
    </row>
    <row r="380" spans="1:1" x14ac:dyDescent="0.25">
      <c r="A380" s="3">
        <v>41822</v>
      </c>
    </row>
    <row r="381" spans="1:1" x14ac:dyDescent="0.25">
      <c r="A381" s="3">
        <v>41823</v>
      </c>
    </row>
    <row r="382" spans="1:1" x14ac:dyDescent="0.25">
      <c r="A382" s="3">
        <v>41824</v>
      </c>
    </row>
    <row r="383" spans="1:1" x14ac:dyDescent="0.25">
      <c r="A383" s="3">
        <v>41825</v>
      </c>
    </row>
    <row r="384" spans="1:1" x14ac:dyDescent="0.25">
      <c r="A384" s="3">
        <v>41826</v>
      </c>
    </row>
    <row r="385" spans="1:1" x14ac:dyDescent="0.25">
      <c r="A385" s="3">
        <v>41827</v>
      </c>
    </row>
    <row r="386" spans="1:1" x14ac:dyDescent="0.25">
      <c r="A386" s="3">
        <v>41828</v>
      </c>
    </row>
    <row r="387" spans="1:1" x14ac:dyDescent="0.25">
      <c r="A387" s="3">
        <v>41829</v>
      </c>
    </row>
    <row r="388" spans="1:1" x14ac:dyDescent="0.25">
      <c r="A388" s="3">
        <v>41830</v>
      </c>
    </row>
    <row r="389" spans="1:1" x14ac:dyDescent="0.25">
      <c r="A389" s="3">
        <v>41831</v>
      </c>
    </row>
    <row r="390" spans="1:1" x14ac:dyDescent="0.25">
      <c r="A390" s="3">
        <v>41832</v>
      </c>
    </row>
    <row r="391" spans="1:1" x14ac:dyDescent="0.25">
      <c r="A391" s="3">
        <v>41833</v>
      </c>
    </row>
    <row r="392" spans="1:1" x14ac:dyDescent="0.25">
      <c r="A392" s="3">
        <v>41834</v>
      </c>
    </row>
    <row r="393" spans="1:1" x14ac:dyDescent="0.25">
      <c r="A393" s="3">
        <v>41835</v>
      </c>
    </row>
    <row r="394" spans="1:1" x14ac:dyDescent="0.25">
      <c r="A394" s="3">
        <v>41836</v>
      </c>
    </row>
    <row r="395" spans="1:1" x14ac:dyDescent="0.25">
      <c r="A395" s="3">
        <v>41837</v>
      </c>
    </row>
    <row r="396" spans="1:1" x14ac:dyDescent="0.25">
      <c r="A396" s="3">
        <v>41838</v>
      </c>
    </row>
    <row r="397" spans="1:1" x14ac:dyDescent="0.25">
      <c r="A397" s="3">
        <v>41839</v>
      </c>
    </row>
    <row r="398" spans="1:1" x14ac:dyDescent="0.25">
      <c r="A398" s="3">
        <v>41840</v>
      </c>
    </row>
    <row r="399" spans="1:1" x14ac:dyDescent="0.25">
      <c r="A399" s="3">
        <v>41841</v>
      </c>
    </row>
    <row r="400" spans="1:1" x14ac:dyDescent="0.25">
      <c r="A400" s="3">
        <v>41842</v>
      </c>
    </row>
    <row r="401" spans="1:1" x14ac:dyDescent="0.25">
      <c r="A401" s="3">
        <v>41843</v>
      </c>
    </row>
    <row r="402" spans="1:1" x14ac:dyDescent="0.25">
      <c r="A402" s="3">
        <v>41844</v>
      </c>
    </row>
    <row r="403" spans="1:1" x14ac:dyDescent="0.25">
      <c r="A403" s="3">
        <v>41845</v>
      </c>
    </row>
    <row r="404" spans="1:1" x14ac:dyDescent="0.25">
      <c r="A404" s="3">
        <v>41846</v>
      </c>
    </row>
    <row r="405" spans="1:1" x14ac:dyDescent="0.25">
      <c r="A405" s="3">
        <v>41847</v>
      </c>
    </row>
    <row r="406" spans="1:1" x14ac:dyDescent="0.25">
      <c r="A406" s="3">
        <v>41848</v>
      </c>
    </row>
    <row r="407" spans="1:1" x14ac:dyDescent="0.25">
      <c r="A407" s="3">
        <v>41849</v>
      </c>
    </row>
    <row r="408" spans="1:1" x14ac:dyDescent="0.25">
      <c r="A408" s="3">
        <v>41850</v>
      </c>
    </row>
    <row r="409" spans="1:1" x14ac:dyDescent="0.25">
      <c r="A409" s="3">
        <v>41851</v>
      </c>
    </row>
    <row r="410" spans="1:1" x14ac:dyDescent="0.25">
      <c r="A410" s="3">
        <v>41852</v>
      </c>
    </row>
    <row r="411" spans="1:1" x14ac:dyDescent="0.25">
      <c r="A411" s="3">
        <v>41853</v>
      </c>
    </row>
    <row r="412" spans="1:1" x14ac:dyDescent="0.25">
      <c r="A412" s="3">
        <v>41854</v>
      </c>
    </row>
    <row r="413" spans="1:1" x14ac:dyDescent="0.25">
      <c r="A413" s="3">
        <v>41855</v>
      </c>
    </row>
    <row r="414" spans="1:1" x14ac:dyDescent="0.25">
      <c r="A414" s="3">
        <v>41856</v>
      </c>
    </row>
    <row r="415" spans="1:1" x14ac:dyDescent="0.25">
      <c r="A415" s="3">
        <v>41857</v>
      </c>
    </row>
    <row r="416" spans="1:1" x14ac:dyDescent="0.25">
      <c r="A416" s="3">
        <v>41858</v>
      </c>
    </row>
    <row r="417" spans="1:1" x14ac:dyDescent="0.25">
      <c r="A417" s="3">
        <v>41859</v>
      </c>
    </row>
    <row r="418" spans="1:1" x14ac:dyDescent="0.25">
      <c r="A418" s="3">
        <v>41860</v>
      </c>
    </row>
    <row r="419" spans="1:1" x14ac:dyDescent="0.25">
      <c r="A419" s="3">
        <v>41861</v>
      </c>
    </row>
    <row r="420" spans="1:1" x14ac:dyDescent="0.25">
      <c r="A420" s="3">
        <v>41862</v>
      </c>
    </row>
    <row r="421" spans="1:1" x14ac:dyDescent="0.25">
      <c r="A421" s="3">
        <v>41863</v>
      </c>
    </row>
    <row r="422" spans="1:1" x14ac:dyDescent="0.25">
      <c r="A422" s="3">
        <v>41864</v>
      </c>
    </row>
    <row r="423" spans="1:1" x14ac:dyDescent="0.25">
      <c r="A423" s="3">
        <v>41865</v>
      </c>
    </row>
    <row r="424" spans="1:1" x14ac:dyDescent="0.25">
      <c r="A424" s="3">
        <v>41866</v>
      </c>
    </row>
    <row r="425" spans="1:1" x14ac:dyDescent="0.25">
      <c r="A425" s="3">
        <v>41867</v>
      </c>
    </row>
    <row r="426" spans="1:1" x14ac:dyDescent="0.25">
      <c r="A426" s="3">
        <v>41868</v>
      </c>
    </row>
    <row r="427" spans="1:1" x14ac:dyDescent="0.25">
      <c r="A427" s="3">
        <v>41869</v>
      </c>
    </row>
    <row r="428" spans="1:1" x14ac:dyDescent="0.25">
      <c r="A428" s="3">
        <v>41870</v>
      </c>
    </row>
    <row r="429" spans="1:1" x14ac:dyDescent="0.25">
      <c r="A429" s="3">
        <v>41871</v>
      </c>
    </row>
    <row r="430" spans="1:1" x14ac:dyDescent="0.25">
      <c r="A430" s="3">
        <v>41872</v>
      </c>
    </row>
    <row r="431" spans="1:1" x14ac:dyDescent="0.25">
      <c r="A431" s="3">
        <v>41873</v>
      </c>
    </row>
    <row r="432" spans="1:1" x14ac:dyDescent="0.25">
      <c r="A432" s="3">
        <v>41874</v>
      </c>
    </row>
    <row r="433" spans="1:1" x14ac:dyDescent="0.25">
      <c r="A433" s="3">
        <v>41875</v>
      </c>
    </row>
    <row r="434" spans="1:1" x14ac:dyDescent="0.25">
      <c r="A434" s="3">
        <v>41876</v>
      </c>
    </row>
    <row r="435" spans="1:1" x14ac:dyDescent="0.25">
      <c r="A435" s="3">
        <v>41877</v>
      </c>
    </row>
    <row r="436" spans="1:1" x14ac:dyDescent="0.25">
      <c r="A436" s="3">
        <v>41878</v>
      </c>
    </row>
    <row r="437" spans="1:1" x14ac:dyDescent="0.25">
      <c r="A437" s="3">
        <v>41879</v>
      </c>
    </row>
    <row r="438" spans="1:1" x14ac:dyDescent="0.25">
      <c r="A438" s="3">
        <v>41880</v>
      </c>
    </row>
    <row r="439" spans="1:1" x14ac:dyDescent="0.25">
      <c r="A439" s="3">
        <v>41881</v>
      </c>
    </row>
    <row r="440" spans="1:1" x14ac:dyDescent="0.25">
      <c r="A440" s="3">
        <v>41882</v>
      </c>
    </row>
    <row r="441" spans="1:1" x14ac:dyDescent="0.25">
      <c r="A441" s="3">
        <v>41883</v>
      </c>
    </row>
    <row r="442" spans="1:1" x14ac:dyDescent="0.25">
      <c r="A442" s="3">
        <v>41884</v>
      </c>
    </row>
    <row r="443" spans="1:1" x14ac:dyDescent="0.25">
      <c r="A443" s="3">
        <v>41885</v>
      </c>
    </row>
    <row r="444" spans="1:1" x14ac:dyDescent="0.25">
      <c r="A444" s="3">
        <v>41886</v>
      </c>
    </row>
    <row r="445" spans="1:1" x14ac:dyDescent="0.25">
      <c r="A445" s="3">
        <v>41887</v>
      </c>
    </row>
    <row r="446" spans="1:1" x14ac:dyDescent="0.25">
      <c r="A446" s="3">
        <v>41888</v>
      </c>
    </row>
    <row r="447" spans="1:1" x14ac:dyDescent="0.25">
      <c r="A447" s="3">
        <v>41889</v>
      </c>
    </row>
    <row r="448" spans="1:1" x14ac:dyDescent="0.25">
      <c r="A448" s="3">
        <v>41890</v>
      </c>
    </row>
    <row r="449" spans="1:1" x14ac:dyDescent="0.25">
      <c r="A449" s="3">
        <v>41891</v>
      </c>
    </row>
    <row r="450" spans="1:1" x14ac:dyDescent="0.25">
      <c r="A450" s="3">
        <v>41892</v>
      </c>
    </row>
    <row r="451" spans="1:1" x14ac:dyDescent="0.25">
      <c r="A451" s="3">
        <v>41893</v>
      </c>
    </row>
    <row r="452" spans="1:1" x14ac:dyDescent="0.25">
      <c r="A452" s="3">
        <v>41894</v>
      </c>
    </row>
    <row r="453" spans="1:1" x14ac:dyDescent="0.25">
      <c r="A453" s="3">
        <v>41895</v>
      </c>
    </row>
    <row r="454" spans="1:1" x14ac:dyDescent="0.25">
      <c r="A454" s="3">
        <v>41896</v>
      </c>
    </row>
    <row r="455" spans="1:1" x14ac:dyDescent="0.25">
      <c r="A455" s="3">
        <v>41897</v>
      </c>
    </row>
    <row r="456" spans="1:1" x14ac:dyDescent="0.25">
      <c r="A456" s="3">
        <v>41898</v>
      </c>
    </row>
    <row r="457" spans="1:1" x14ac:dyDescent="0.25">
      <c r="A457" s="3">
        <v>41899</v>
      </c>
    </row>
    <row r="458" spans="1:1" x14ac:dyDescent="0.25">
      <c r="A458" s="3">
        <v>41900</v>
      </c>
    </row>
    <row r="459" spans="1:1" x14ac:dyDescent="0.25">
      <c r="A459" s="3">
        <v>41901</v>
      </c>
    </row>
    <row r="460" spans="1:1" x14ac:dyDescent="0.25">
      <c r="A460" s="3">
        <v>41902</v>
      </c>
    </row>
    <row r="461" spans="1:1" x14ac:dyDescent="0.25">
      <c r="A461" s="3">
        <v>41903</v>
      </c>
    </row>
    <row r="462" spans="1:1" x14ac:dyDescent="0.25">
      <c r="A462" s="3">
        <v>41904</v>
      </c>
    </row>
    <row r="463" spans="1:1" x14ac:dyDescent="0.25">
      <c r="A463" s="3">
        <v>41905</v>
      </c>
    </row>
    <row r="464" spans="1:1" x14ac:dyDescent="0.25">
      <c r="A464" s="3">
        <v>41906</v>
      </c>
    </row>
    <row r="465" spans="1:1" x14ac:dyDescent="0.25">
      <c r="A465" s="3">
        <v>41907</v>
      </c>
    </row>
    <row r="466" spans="1:1" x14ac:dyDescent="0.25">
      <c r="A466" s="3">
        <v>41908</v>
      </c>
    </row>
    <row r="467" spans="1:1" x14ac:dyDescent="0.25">
      <c r="A467" s="3">
        <v>41909</v>
      </c>
    </row>
    <row r="468" spans="1:1" x14ac:dyDescent="0.25">
      <c r="A468" s="3">
        <v>41910</v>
      </c>
    </row>
    <row r="469" spans="1:1" x14ac:dyDescent="0.25">
      <c r="A469" s="3">
        <v>41911</v>
      </c>
    </row>
    <row r="470" spans="1:1" x14ac:dyDescent="0.25">
      <c r="A470" s="3">
        <v>41912</v>
      </c>
    </row>
    <row r="471" spans="1:1" x14ac:dyDescent="0.25">
      <c r="A471" s="3">
        <v>41913</v>
      </c>
    </row>
    <row r="472" spans="1:1" x14ac:dyDescent="0.25">
      <c r="A472" s="3">
        <v>41914</v>
      </c>
    </row>
    <row r="473" spans="1:1" x14ac:dyDescent="0.25">
      <c r="A473" s="3">
        <v>41915</v>
      </c>
    </row>
    <row r="474" spans="1:1" x14ac:dyDescent="0.25">
      <c r="A474" s="3">
        <v>41916</v>
      </c>
    </row>
    <row r="475" spans="1:1" x14ac:dyDescent="0.25">
      <c r="A475" s="3">
        <v>41917</v>
      </c>
    </row>
    <row r="476" spans="1:1" x14ac:dyDescent="0.25">
      <c r="A476" s="3">
        <v>41918</v>
      </c>
    </row>
    <row r="477" spans="1:1" x14ac:dyDescent="0.25">
      <c r="A477" s="3">
        <v>41919</v>
      </c>
    </row>
    <row r="478" spans="1:1" x14ac:dyDescent="0.25">
      <c r="A478" s="3">
        <v>41920</v>
      </c>
    </row>
    <row r="479" spans="1:1" x14ac:dyDescent="0.25">
      <c r="A479" s="3">
        <v>41921</v>
      </c>
    </row>
    <row r="480" spans="1:1" x14ac:dyDescent="0.25">
      <c r="A480" s="3">
        <v>41922</v>
      </c>
    </row>
    <row r="481" spans="1:1" x14ac:dyDescent="0.25">
      <c r="A481" s="3">
        <v>41923</v>
      </c>
    </row>
    <row r="482" spans="1:1" x14ac:dyDescent="0.25">
      <c r="A482" s="3">
        <v>41924</v>
      </c>
    </row>
    <row r="483" spans="1:1" x14ac:dyDescent="0.25">
      <c r="A483" s="3">
        <v>41925</v>
      </c>
    </row>
    <row r="484" spans="1:1" x14ac:dyDescent="0.25">
      <c r="A484" s="3">
        <v>41926</v>
      </c>
    </row>
    <row r="485" spans="1:1" x14ac:dyDescent="0.25">
      <c r="A485" s="3">
        <v>41927</v>
      </c>
    </row>
    <row r="486" spans="1:1" x14ac:dyDescent="0.25">
      <c r="A486" s="3">
        <v>41928</v>
      </c>
    </row>
    <row r="487" spans="1:1" x14ac:dyDescent="0.25">
      <c r="A487" s="3">
        <v>41929</v>
      </c>
    </row>
    <row r="488" spans="1:1" x14ac:dyDescent="0.25">
      <c r="A488" s="3">
        <v>41930</v>
      </c>
    </row>
    <row r="489" spans="1:1" x14ac:dyDescent="0.25">
      <c r="A489" s="3">
        <v>41931</v>
      </c>
    </row>
    <row r="490" spans="1:1" x14ac:dyDescent="0.25">
      <c r="A490" s="3">
        <v>41932</v>
      </c>
    </row>
    <row r="491" spans="1:1" x14ac:dyDescent="0.25">
      <c r="A491" s="3">
        <v>41933</v>
      </c>
    </row>
    <row r="492" spans="1:1" x14ac:dyDescent="0.25">
      <c r="A492" s="3">
        <v>41934</v>
      </c>
    </row>
    <row r="493" spans="1:1" x14ac:dyDescent="0.25">
      <c r="A493" s="3">
        <v>41935</v>
      </c>
    </row>
    <row r="494" spans="1:1" x14ac:dyDescent="0.25">
      <c r="A494" s="3">
        <v>41936</v>
      </c>
    </row>
    <row r="495" spans="1:1" x14ac:dyDescent="0.25">
      <c r="A495" s="3">
        <v>41937</v>
      </c>
    </row>
    <row r="496" spans="1:1" x14ac:dyDescent="0.25">
      <c r="A496" s="3">
        <v>41938</v>
      </c>
    </row>
    <row r="497" spans="1:1" x14ac:dyDescent="0.25">
      <c r="A497" s="3">
        <v>41939</v>
      </c>
    </row>
    <row r="498" spans="1:1" x14ac:dyDescent="0.25">
      <c r="A498" s="3">
        <v>41940</v>
      </c>
    </row>
    <row r="499" spans="1:1" x14ac:dyDescent="0.25">
      <c r="A499" s="3">
        <v>41941</v>
      </c>
    </row>
    <row r="500" spans="1:1" x14ac:dyDescent="0.25">
      <c r="A500" s="3">
        <v>41942</v>
      </c>
    </row>
    <row r="501" spans="1:1" x14ac:dyDescent="0.25">
      <c r="A501" s="3">
        <v>41943</v>
      </c>
    </row>
    <row r="502" spans="1:1" x14ac:dyDescent="0.25">
      <c r="A502" s="3">
        <v>41944</v>
      </c>
    </row>
    <row r="503" spans="1:1" x14ac:dyDescent="0.25">
      <c r="A503" s="3">
        <v>41945</v>
      </c>
    </row>
    <row r="504" spans="1:1" x14ac:dyDescent="0.25">
      <c r="A504" s="3">
        <v>41946</v>
      </c>
    </row>
    <row r="505" spans="1:1" x14ac:dyDescent="0.25">
      <c r="A505" s="3">
        <v>41947</v>
      </c>
    </row>
    <row r="506" spans="1:1" x14ac:dyDescent="0.25">
      <c r="A506" s="3">
        <v>41948</v>
      </c>
    </row>
    <row r="507" spans="1:1" x14ac:dyDescent="0.25">
      <c r="A507" s="3">
        <v>41949</v>
      </c>
    </row>
    <row r="508" spans="1:1" x14ac:dyDescent="0.25">
      <c r="A508" s="3">
        <v>41950</v>
      </c>
    </row>
    <row r="509" spans="1:1" x14ac:dyDescent="0.25">
      <c r="A509" s="3">
        <v>41951</v>
      </c>
    </row>
    <row r="510" spans="1:1" x14ac:dyDescent="0.25">
      <c r="A510" s="3">
        <v>41952</v>
      </c>
    </row>
    <row r="511" spans="1:1" x14ac:dyDescent="0.25">
      <c r="A511" s="3">
        <v>41953</v>
      </c>
    </row>
    <row r="512" spans="1:1" x14ac:dyDescent="0.25">
      <c r="A512" s="3">
        <v>41954</v>
      </c>
    </row>
    <row r="513" spans="1:1" x14ac:dyDescent="0.25">
      <c r="A513" s="3">
        <v>41955</v>
      </c>
    </row>
    <row r="514" spans="1:1" x14ac:dyDescent="0.25">
      <c r="A514" s="3">
        <v>41956</v>
      </c>
    </row>
    <row r="515" spans="1:1" x14ac:dyDescent="0.25">
      <c r="A515" s="3">
        <v>41957</v>
      </c>
    </row>
    <row r="516" spans="1:1" x14ac:dyDescent="0.25">
      <c r="A516" s="3">
        <v>41958</v>
      </c>
    </row>
    <row r="517" spans="1:1" x14ac:dyDescent="0.25">
      <c r="A517" s="3">
        <v>41959</v>
      </c>
    </row>
    <row r="518" spans="1:1" x14ac:dyDescent="0.25">
      <c r="A518" s="3">
        <v>41960</v>
      </c>
    </row>
    <row r="519" spans="1:1" x14ac:dyDescent="0.25">
      <c r="A519" s="3">
        <v>41961</v>
      </c>
    </row>
    <row r="520" spans="1:1" x14ac:dyDescent="0.25">
      <c r="A520" s="3">
        <v>41962</v>
      </c>
    </row>
    <row r="521" spans="1:1" x14ac:dyDescent="0.25">
      <c r="A521" s="3">
        <v>41963</v>
      </c>
    </row>
    <row r="522" spans="1:1" x14ac:dyDescent="0.25">
      <c r="A522" s="3">
        <v>41964</v>
      </c>
    </row>
    <row r="523" spans="1:1" x14ac:dyDescent="0.25">
      <c r="A523" s="3">
        <v>41965</v>
      </c>
    </row>
    <row r="524" spans="1:1" x14ac:dyDescent="0.25">
      <c r="A524" s="3">
        <v>41966</v>
      </c>
    </row>
    <row r="525" spans="1:1" x14ac:dyDescent="0.25">
      <c r="A525" s="3">
        <v>41967</v>
      </c>
    </row>
    <row r="526" spans="1:1" x14ac:dyDescent="0.25">
      <c r="A526" s="3">
        <v>41968</v>
      </c>
    </row>
    <row r="527" spans="1:1" x14ac:dyDescent="0.25">
      <c r="A527" s="3">
        <v>41969</v>
      </c>
    </row>
    <row r="528" spans="1:1" x14ac:dyDescent="0.25">
      <c r="A528" s="3">
        <v>41970</v>
      </c>
    </row>
    <row r="529" spans="1:1" x14ac:dyDescent="0.25">
      <c r="A529" s="3">
        <v>41971</v>
      </c>
    </row>
    <row r="530" spans="1:1" x14ac:dyDescent="0.25">
      <c r="A530" s="3">
        <v>41972</v>
      </c>
    </row>
    <row r="531" spans="1:1" x14ac:dyDescent="0.25">
      <c r="A531" s="3">
        <v>41973</v>
      </c>
    </row>
    <row r="532" spans="1:1" x14ac:dyDescent="0.25">
      <c r="A532" s="3">
        <v>41974</v>
      </c>
    </row>
    <row r="533" spans="1:1" x14ac:dyDescent="0.25">
      <c r="A533" s="3">
        <v>41975</v>
      </c>
    </row>
    <row r="534" spans="1:1" x14ac:dyDescent="0.25">
      <c r="A534" s="3">
        <v>41976</v>
      </c>
    </row>
    <row r="535" spans="1:1" x14ac:dyDescent="0.25">
      <c r="A535" s="3">
        <v>41977</v>
      </c>
    </row>
    <row r="536" spans="1:1" x14ac:dyDescent="0.25">
      <c r="A536" s="3">
        <v>41978</v>
      </c>
    </row>
    <row r="537" spans="1:1" x14ac:dyDescent="0.25">
      <c r="A537" s="3">
        <v>41979</v>
      </c>
    </row>
    <row r="538" spans="1:1" x14ac:dyDescent="0.25">
      <c r="A538" s="3">
        <v>41980</v>
      </c>
    </row>
    <row r="539" spans="1:1" x14ac:dyDescent="0.25">
      <c r="A539" s="3">
        <v>41981</v>
      </c>
    </row>
    <row r="540" spans="1:1" x14ac:dyDescent="0.25">
      <c r="A540" s="3">
        <v>41982</v>
      </c>
    </row>
    <row r="541" spans="1:1" x14ac:dyDescent="0.25">
      <c r="A541" s="3">
        <v>41983</v>
      </c>
    </row>
    <row r="542" spans="1:1" x14ac:dyDescent="0.25">
      <c r="A542" s="3">
        <v>41984</v>
      </c>
    </row>
    <row r="543" spans="1:1" x14ac:dyDescent="0.25">
      <c r="A543" s="3">
        <v>41985</v>
      </c>
    </row>
    <row r="544" spans="1:1" x14ac:dyDescent="0.25">
      <c r="A544" s="3">
        <v>41986</v>
      </c>
    </row>
    <row r="545" spans="1:1" x14ac:dyDescent="0.25">
      <c r="A545" s="3">
        <v>41987</v>
      </c>
    </row>
    <row r="546" spans="1:1" x14ac:dyDescent="0.25">
      <c r="A546" s="3">
        <v>41988</v>
      </c>
    </row>
    <row r="547" spans="1:1" x14ac:dyDescent="0.25">
      <c r="A547" s="3">
        <v>41989</v>
      </c>
    </row>
    <row r="548" spans="1:1" x14ac:dyDescent="0.25">
      <c r="A548" s="3">
        <v>41990</v>
      </c>
    </row>
    <row r="549" spans="1:1" x14ac:dyDescent="0.25">
      <c r="A549" s="3">
        <v>41991</v>
      </c>
    </row>
    <row r="550" spans="1:1" x14ac:dyDescent="0.25">
      <c r="A550" s="3">
        <v>41992</v>
      </c>
    </row>
    <row r="551" spans="1:1" x14ac:dyDescent="0.25">
      <c r="A551" s="3">
        <v>41993</v>
      </c>
    </row>
    <row r="552" spans="1:1" x14ac:dyDescent="0.25">
      <c r="A552" s="3">
        <v>41994</v>
      </c>
    </row>
    <row r="553" spans="1:1" x14ac:dyDescent="0.25">
      <c r="A553" s="3">
        <v>41995</v>
      </c>
    </row>
    <row r="554" spans="1:1" x14ac:dyDescent="0.25">
      <c r="A554" s="3">
        <v>41996</v>
      </c>
    </row>
    <row r="555" spans="1:1" x14ac:dyDescent="0.25">
      <c r="A555" s="3">
        <v>41997</v>
      </c>
    </row>
    <row r="556" spans="1:1" x14ac:dyDescent="0.25">
      <c r="A556" s="3">
        <v>41998</v>
      </c>
    </row>
    <row r="557" spans="1:1" x14ac:dyDescent="0.25">
      <c r="A557" s="3">
        <v>41999</v>
      </c>
    </row>
    <row r="558" spans="1:1" x14ac:dyDescent="0.25">
      <c r="A558" s="3">
        <v>42000</v>
      </c>
    </row>
    <row r="559" spans="1:1" x14ac:dyDescent="0.25">
      <c r="A559" s="3">
        <v>42001</v>
      </c>
    </row>
    <row r="560" spans="1:1" x14ac:dyDescent="0.25">
      <c r="A560" s="3">
        <v>42002</v>
      </c>
    </row>
    <row r="561" spans="1:1" x14ac:dyDescent="0.25">
      <c r="A561" s="3">
        <v>42003</v>
      </c>
    </row>
    <row r="562" spans="1:1" x14ac:dyDescent="0.25">
      <c r="A562" s="3">
        <v>42004</v>
      </c>
    </row>
    <row r="563" spans="1:1" x14ac:dyDescent="0.25">
      <c r="A563" s="3">
        <v>42005</v>
      </c>
    </row>
    <row r="564" spans="1:1" x14ac:dyDescent="0.25">
      <c r="A564" s="3">
        <v>42006</v>
      </c>
    </row>
    <row r="565" spans="1:1" x14ac:dyDescent="0.25">
      <c r="A565" s="3">
        <v>42007</v>
      </c>
    </row>
    <row r="566" spans="1:1" x14ac:dyDescent="0.25">
      <c r="A566" s="3">
        <v>42008</v>
      </c>
    </row>
    <row r="567" spans="1:1" x14ac:dyDescent="0.25">
      <c r="A567" s="3">
        <v>42009</v>
      </c>
    </row>
    <row r="568" spans="1:1" x14ac:dyDescent="0.25">
      <c r="A568" s="3">
        <v>42010</v>
      </c>
    </row>
    <row r="569" spans="1:1" x14ac:dyDescent="0.25">
      <c r="A569" s="3">
        <v>42011</v>
      </c>
    </row>
    <row r="570" spans="1:1" x14ac:dyDescent="0.25">
      <c r="A570" s="3">
        <v>42012</v>
      </c>
    </row>
    <row r="571" spans="1:1" x14ac:dyDescent="0.25">
      <c r="A571" s="3">
        <v>42013</v>
      </c>
    </row>
    <row r="572" spans="1:1" x14ac:dyDescent="0.25">
      <c r="A572" s="3">
        <v>42014</v>
      </c>
    </row>
    <row r="573" spans="1:1" x14ac:dyDescent="0.25">
      <c r="A573" s="3">
        <v>42015</v>
      </c>
    </row>
    <row r="574" spans="1:1" x14ac:dyDescent="0.25">
      <c r="A574" s="3">
        <v>42016</v>
      </c>
    </row>
    <row r="575" spans="1:1" x14ac:dyDescent="0.25">
      <c r="A575" s="3">
        <v>42017</v>
      </c>
    </row>
    <row r="576" spans="1:1" x14ac:dyDescent="0.25">
      <c r="A576" s="3">
        <v>42018</v>
      </c>
    </row>
    <row r="577" spans="1:1" x14ac:dyDescent="0.25">
      <c r="A577" s="3">
        <v>42019</v>
      </c>
    </row>
    <row r="578" spans="1:1" x14ac:dyDescent="0.25">
      <c r="A578" s="3">
        <v>42020</v>
      </c>
    </row>
    <row r="579" spans="1:1" x14ac:dyDescent="0.25">
      <c r="A579" s="3">
        <v>42021</v>
      </c>
    </row>
    <row r="580" spans="1:1" x14ac:dyDescent="0.25">
      <c r="A580" s="3">
        <v>42022</v>
      </c>
    </row>
    <row r="581" spans="1:1" x14ac:dyDescent="0.25">
      <c r="A581" s="3">
        <v>42023</v>
      </c>
    </row>
    <row r="582" spans="1:1" x14ac:dyDescent="0.25">
      <c r="A582" s="3">
        <v>42024</v>
      </c>
    </row>
    <row r="583" spans="1:1" x14ac:dyDescent="0.25">
      <c r="A583" s="3">
        <v>42025</v>
      </c>
    </row>
    <row r="584" spans="1:1" x14ac:dyDescent="0.25">
      <c r="A584" s="3">
        <v>42026</v>
      </c>
    </row>
    <row r="585" spans="1:1" x14ac:dyDescent="0.25">
      <c r="A585" s="3">
        <v>42027</v>
      </c>
    </row>
    <row r="586" spans="1:1" x14ac:dyDescent="0.25">
      <c r="A586" s="3">
        <v>42028</v>
      </c>
    </row>
    <row r="587" spans="1:1" x14ac:dyDescent="0.25">
      <c r="A587" s="3">
        <v>42029</v>
      </c>
    </row>
    <row r="588" spans="1:1" x14ac:dyDescent="0.25">
      <c r="A588" s="3">
        <v>42030</v>
      </c>
    </row>
    <row r="589" spans="1:1" x14ac:dyDescent="0.25">
      <c r="A589" s="3">
        <v>42031</v>
      </c>
    </row>
    <row r="590" spans="1:1" x14ac:dyDescent="0.25">
      <c r="A590" s="3">
        <v>42032</v>
      </c>
    </row>
    <row r="591" spans="1:1" x14ac:dyDescent="0.25">
      <c r="A591" s="3">
        <v>42033</v>
      </c>
    </row>
    <row r="592" spans="1:1" x14ac:dyDescent="0.25">
      <c r="A592" s="3">
        <v>42034</v>
      </c>
    </row>
    <row r="593" spans="1:1" x14ac:dyDescent="0.25">
      <c r="A593" s="3">
        <v>42035</v>
      </c>
    </row>
    <row r="594" spans="1:1" x14ac:dyDescent="0.25">
      <c r="A594" s="3">
        <v>42036</v>
      </c>
    </row>
    <row r="595" spans="1:1" x14ac:dyDescent="0.25">
      <c r="A595" s="3">
        <v>42037</v>
      </c>
    </row>
    <row r="596" spans="1:1" x14ac:dyDescent="0.25">
      <c r="A596" s="3">
        <v>42038</v>
      </c>
    </row>
    <row r="597" spans="1:1" x14ac:dyDescent="0.25">
      <c r="A597" s="3">
        <v>42039</v>
      </c>
    </row>
    <row r="598" spans="1:1" x14ac:dyDescent="0.25">
      <c r="A598" s="3">
        <v>42040</v>
      </c>
    </row>
    <row r="599" spans="1:1" x14ac:dyDescent="0.25">
      <c r="A599" s="3">
        <v>42041</v>
      </c>
    </row>
    <row r="600" spans="1:1" x14ac:dyDescent="0.25">
      <c r="A600" s="3">
        <v>42042</v>
      </c>
    </row>
    <row r="601" spans="1:1" x14ac:dyDescent="0.25">
      <c r="A601" s="3">
        <v>42043</v>
      </c>
    </row>
    <row r="602" spans="1:1" x14ac:dyDescent="0.25">
      <c r="A602" s="3">
        <v>42044</v>
      </c>
    </row>
    <row r="603" spans="1:1" x14ac:dyDescent="0.25">
      <c r="A603" s="3">
        <v>42045</v>
      </c>
    </row>
    <row r="604" spans="1:1" x14ac:dyDescent="0.25">
      <c r="A604" s="3">
        <v>42046</v>
      </c>
    </row>
    <row r="605" spans="1:1" x14ac:dyDescent="0.25">
      <c r="A605" s="3">
        <v>42047</v>
      </c>
    </row>
    <row r="606" spans="1:1" x14ac:dyDescent="0.25">
      <c r="A606" s="3">
        <v>42048</v>
      </c>
    </row>
    <row r="607" spans="1:1" x14ac:dyDescent="0.25">
      <c r="A607" s="3">
        <v>42049</v>
      </c>
    </row>
    <row r="608" spans="1:1" x14ac:dyDescent="0.25">
      <c r="A608" s="3">
        <v>42050</v>
      </c>
    </row>
    <row r="609" spans="1:1" x14ac:dyDescent="0.25">
      <c r="A609" s="3">
        <v>42051</v>
      </c>
    </row>
    <row r="610" spans="1:1" x14ac:dyDescent="0.25">
      <c r="A610" s="3">
        <v>42052</v>
      </c>
    </row>
    <row r="611" spans="1:1" x14ac:dyDescent="0.25">
      <c r="A611" s="3">
        <v>42053</v>
      </c>
    </row>
    <row r="612" spans="1:1" x14ac:dyDescent="0.25">
      <c r="A612" s="3">
        <v>42054</v>
      </c>
    </row>
    <row r="613" spans="1:1" x14ac:dyDescent="0.25">
      <c r="A613" s="3">
        <v>42055</v>
      </c>
    </row>
    <row r="614" spans="1:1" x14ac:dyDescent="0.25">
      <c r="A614" s="3">
        <v>42056</v>
      </c>
    </row>
    <row r="615" spans="1:1" x14ac:dyDescent="0.25">
      <c r="A615" s="3">
        <v>42057</v>
      </c>
    </row>
    <row r="616" spans="1:1" x14ac:dyDescent="0.25">
      <c r="A616" s="3">
        <v>42058</v>
      </c>
    </row>
    <row r="617" spans="1:1" x14ac:dyDescent="0.25">
      <c r="A617" s="3">
        <v>42059</v>
      </c>
    </row>
    <row r="618" spans="1:1" x14ac:dyDescent="0.25">
      <c r="A618" s="3">
        <v>42060</v>
      </c>
    </row>
    <row r="619" spans="1:1" x14ac:dyDescent="0.25">
      <c r="A619" s="3">
        <v>42061</v>
      </c>
    </row>
    <row r="620" spans="1:1" x14ac:dyDescent="0.25">
      <c r="A620" s="3">
        <v>42062</v>
      </c>
    </row>
    <row r="621" spans="1:1" x14ac:dyDescent="0.25">
      <c r="A621" s="3">
        <v>42063</v>
      </c>
    </row>
    <row r="622" spans="1:1" x14ac:dyDescent="0.25">
      <c r="A622" s="3">
        <v>42064</v>
      </c>
    </row>
    <row r="623" spans="1:1" x14ac:dyDescent="0.25">
      <c r="A623" s="3">
        <v>42065</v>
      </c>
    </row>
    <row r="624" spans="1:1" x14ac:dyDescent="0.25">
      <c r="A624" s="3">
        <v>42066</v>
      </c>
    </row>
    <row r="625" spans="1:1" x14ac:dyDescent="0.25">
      <c r="A625" s="3">
        <v>42067</v>
      </c>
    </row>
    <row r="626" spans="1:1" x14ac:dyDescent="0.25">
      <c r="A626" s="3">
        <v>42068</v>
      </c>
    </row>
    <row r="627" spans="1:1" x14ac:dyDescent="0.25">
      <c r="A627" s="3">
        <v>42069</v>
      </c>
    </row>
    <row r="628" spans="1:1" x14ac:dyDescent="0.25">
      <c r="A628" s="3">
        <v>42070</v>
      </c>
    </row>
    <row r="629" spans="1:1" x14ac:dyDescent="0.25">
      <c r="A629" s="3">
        <v>42071</v>
      </c>
    </row>
    <row r="630" spans="1:1" x14ac:dyDescent="0.25">
      <c r="A630" s="3">
        <v>42072</v>
      </c>
    </row>
    <row r="631" spans="1:1" x14ac:dyDescent="0.25">
      <c r="A631" s="3">
        <v>42073</v>
      </c>
    </row>
    <row r="632" spans="1:1" x14ac:dyDescent="0.25">
      <c r="A632" s="3">
        <v>42074</v>
      </c>
    </row>
    <row r="633" spans="1:1" x14ac:dyDescent="0.25">
      <c r="A633" s="3">
        <v>42075</v>
      </c>
    </row>
    <row r="634" spans="1:1" x14ac:dyDescent="0.25">
      <c r="A634" s="3">
        <v>42076</v>
      </c>
    </row>
    <row r="635" spans="1:1" x14ac:dyDescent="0.25">
      <c r="A635" s="3">
        <v>42077</v>
      </c>
    </row>
    <row r="636" spans="1:1" x14ac:dyDescent="0.25">
      <c r="A636" s="3">
        <v>42078</v>
      </c>
    </row>
    <row r="637" spans="1:1" x14ac:dyDescent="0.25">
      <c r="A637" s="3">
        <v>42079</v>
      </c>
    </row>
    <row r="638" spans="1:1" x14ac:dyDescent="0.25">
      <c r="A638" s="3">
        <v>42080</v>
      </c>
    </row>
    <row r="639" spans="1:1" x14ac:dyDescent="0.25">
      <c r="A639" s="3">
        <v>42081</v>
      </c>
    </row>
    <row r="640" spans="1:1" x14ac:dyDescent="0.25">
      <c r="A640" s="3">
        <v>42082</v>
      </c>
    </row>
    <row r="641" spans="1:1" x14ac:dyDescent="0.25">
      <c r="A641" s="3">
        <v>42083</v>
      </c>
    </row>
    <row r="642" spans="1:1" x14ac:dyDescent="0.25">
      <c r="A642" s="3">
        <v>42084</v>
      </c>
    </row>
    <row r="643" spans="1:1" x14ac:dyDescent="0.25">
      <c r="A643" s="3">
        <v>42085</v>
      </c>
    </row>
    <row r="644" spans="1:1" x14ac:dyDescent="0.25">
      <c r="A644" s="3">
        <v>42086</v>
      </c>
    </row>
    <row r="645" spans="1:1" x14ac:dyDescent="0.25">
      <c r="A645" s="3">
        <v>42087</v>
      </c>
    </row>
    <row r="646" spans="1:1" x14ac:dyDescent="0.25">
      <c r="A646" s="3">
        <v>42088</v>
      </c>
    </row>
    <row r="647" spans="1:1" x14ac:dyDescent="0.25">
      <c r="A647" s="3">
        <v>42089</v>
      </c>
    </row>
    <row r="648" spans="1:1" x14ac:dyDescent="0.25">
      <c r="A648" s="3">
        <v>42090</v>
      </c>
    </row>
    <row r="649" spans="1:1" x14ac:dyDescent="0.25">
      <c r="A649" s="3">
        <v>42091</v>
      </c>
    </row>
    <row r="650" spans="1:1" x14ac:dyDescent="0.25">
      <c r="A650" s="3">
        <v>42092</v>
      </c>
    </row>
    <row r="651" spans="1:1" x14ac:dyDescent="0.25">
      <c r="A651" s="3">
        <v>42093</v>
      </c>
    </row>
    <row r="652" spans="1:1" x14ac:dyDescent="0.25">
      <c r="A652" s="3">
        <v>42094</v>
      </c>
    </row>
    <row r="653" spans="1:1" x14ac:dyDescent="0.25">
      <c r="A653" s="3">
        <v>42095</v>
      </c>
    </row>
    <row r="654" spans="1:1" x14ac:dyDescent="0.25">
      <c r="A654" s="3">
        <v>42096</v>
      </c>
    </row>
    <row r="655" spans="1:1" x14ac:dyDescent="0.25">
      <c r="A655" s="3">
        <v>42097</v>
      </c>
    </row>
    <row r="656" spans="1:1" x14ac:dyDescent="0.25">
      <c r="A656" s="3">
        <v>42098</v>
      </c>
    </row>
    <row r="657" spans="1:1" x14ac:dyDescent="0.25">
      <c r="A657" s="3">
        <v>42099</v>
      </c>
    </row>
    <row r="658" spans="1:1" x14ac:dyDescent="0.25">
      <c r="A658" s="3">
        <v>42100</v>
      </c>
    </row>
    <row r="659" spans="1:1" x14ac:dyDescent="0.25">
      <c r="A659" s="3">
        <v>42101</v>
      </c>
    </row>
    <row r="660" spans="1:1" x14ac:dyDescent="0.25">
      <c r="A660" s="3">
        <v>42102</v>
      </c>
    </row>
    <row r="661" spans="1:1" x14ac:dyDescent="0.25">
      <c r="A661" s="3">
        <v>42103</v>
      </c>
    </row>
    <row r="662" spans="1:1" x14ac:dyDescent="0.25">
      <c r="A662" s="3">
        <v>42104</v>
      </c>
    </row>
    <row r="663" spans="1:1" x14ac:dyDescent="0.25">
      <c r="A663" s="3">
        <v>42105</v>
      </c>
    </row>
    <row r="664" spans="1:1" x14ac:dyDescent="0.25">
      <c r="A664" s="3">
        <v>42106</v>
      </c>
    </row>
    <row r="665" spans="1:1" x14ac:dyDescent="0.25">
      <c r="A665" s="3">
        <v>42107</v>
      </c>
    </row>
    <row r="666" spans="1:1" x14ac:dyDescent="0.25">
      <c r="A666" s="3">
        <v>42108</v>
      </c>
    </row>
    <row r="667" spans="1:1" x14ac:dyDescent="0.25">
      <c r="A667" s="3">
        <v>42109</v>
      </c>
    </row>
    <row r="668" spans="1:1" x14ac:dyDescent="0.25">
      <c r="A668" s="3">
        <v>42110</v>
      </c>
    </row>
    <row r="669" spans="1:1" x14ac:dyDescent="0.25">
      <c r="A669" s="3">
        <v>42111</v>
      </c>
    </row>
    <row r="670" spans="1:1" x14ac:dyDescent="0.25">
      <c r="A670" s="3">
        <v>42112</v>
      </c>
    </row>
    <row r="671" spans="1:1" x14ac:dyDescent="0.25">
      <c r="A671" s="3">
        <v>42113</v>
      </c>
    </row>
    <row r="672" spans="1:1" x14ac:dyDescent="0.25">
      <c r="A672" s="3">
        <v>42114</v>
      </c>
    </row>
    <row r="673" spans="1:1" x14ac:dyDescent="0.25">
      <c r="A673" s="3">
        <v>42115</v>
      </c>
    </row>
    <row r="674" spans="1:1" x14ac:dyDescent="0.25">
      <c r="A674" s="3">
        <v>42116</v>
      </c>
    </row>
    <row r="675" spans="1:1" x14ac:dyDescent="0.25">
      <c r="A675" s="3">
        <v>42117</v>
      </c>
    </row>
    <row r="676" spans="1:1" x14ac:dyDescent="0.25">
      <c r="A676" s="3">
        <v>42118</v>
      </c>
    </row>
    <row r="677" spans="1:1" x14ac:dyDescent="0.25">
      <c r="A677" s="3">
        <v>42119</v>
      </c>
    </row>
    <row r="678" spans="1:1" x14ac:dyDescent="0.25">
      <c r="A678" s="3">
        <v>42120</v>
      </c>
    </row>
    <row r="679" spans="1:1" x14ac:dyDescent="0.25">
      <c r="A679" s="3">
        <v>42121</v>
      </c>
    </row>
    <row r="680" spans="1:1" x14ac:dyDescent="0.25">
      <c r="A680" s="3">
        <v>42122</v>
      </c>
    </row>
    <row r="681" spans="1:1" x14ac:dyDescent="0.25">
      <c r="A681" s="3">
        <v>42123</v>
      </c>
    </row>
    <row r="682" spans="1:1" x14ac:dyDescent="0.25">
      <c r="A682" s="3">
        <v>42124</v>
      </c>
    </row>
    <row r="683" spans="1:1" x14ac:dyDescent="0.25">
      <c r="A683" s="3">
        <v>42125</v>
      </c>
    </row>
    <row r="684" spans="1:1" x14ac:dyDescent="0.25">
      <c r="A684" s="3">
        <v>42126</v>
      </c>
    </row>
    <row r="685" spans="1:1" x14ac:dyDescent="0.25">
      <c r="A685" s="3">
        <v>42127</v>
      </c>
    </row>
    <row r="686" spans="1:1" x14ac:dyDescent="0.25">
      <c r="A686" s="3">
        <v>42128</v>
      </c>
    </row>
    <row r="687" spans="1:1" x14ac:dyDescent="0.25">
      <c r="A687" s="3">
        <v>42129</v>
      </c>
    </row>
    <row r="688" spans="1:1" x14ac:dyDescent="0.25">
      <c r="A688" s="3">
        <v>42130</v>
      </c>
    </row>
    <row r="689" spans="1:1" x14ac:dyDescent="0.25">
      <c r="A689" s="3">
        <v>42131</v>
      </c>
    </row>
    <row r="690" spans="1:1" x14ac:dyDescent="0.25">
      <c r="A690" s="3">
        <v>42132</v>
      </c>
    </row>
    <row r="691" spans="1:1" x14ac:dyDescent="0.25">
      <c r="A691" s="3">
        <v>42133</v>
      </c>
    </row>
    <row r="692" spans="1:1" x14ac:dyDescent="0.25">
      <c r="A692" s="3">
        <v>42134</v>
      </c>
    </row>
    <row r="693" spans="1:1" x14ac:dyDescent="0.25">
      <c r="A693" s="3">
        <v>42135</v>
      </c>
    </row>
    <row r="694" spans="1:1" x14ac:dyDescent="0.25">
      <c r="A694" s="3">
        <v>42136</v>
      </c>
    </row>
    <row r="695" spans="1:1" x14ac:dyDescent="0.25">
      <c r="A695" s="3">
        <v>42137</v>
      </c>
    </row>
    <row r="696" spans="1:1" x14ac:dyDescent="0.25">
      <c r="A696" s="3">
        <v>42138</v>
      </c>
    </row>
    <row r="697" spans="1:1" x14ac:dyDescent="0.25">
      <c r="A697" s="3">
        <v>42139</v>
      </c>
    </row>
    <row r="698" spans="1:1" x14ac:dyDescent="0.25">
      <c r="A698" s="3">
        <v>42140</v>
      </c>
    </row>
    <row r="699" spans="1:1" x14ac:dyDescent="0.25">
      <c r="A699" s="3">
        <v>42141</v>
      </c>
    </row>
    <row r="700" spans="1:1" x14ac:dyDescent="0.25">
      <c r="A700" s="3">
        <v>42142</v>
      </c>
    </row>
    <row r="701" spans="1:1" x14ac:dyDescent="0.25">
      <c r="A701" s="3">
        <v>42143</v>
      </c>
    </row>
    <row r="702" spans="1:1" x14ac:dyDescent="0.25">
      <c r="A702" s="3">
        <v>42144</v>
      </c>
    </row>
    <row r="703" spans="1:1" x14ac:dyDescent="0.25">
      <c r="A703" s="3">
        <v>42145</v>
      </c>
    </row>
    <row r="704" spans="1:1" x14ac:dyDescent="0.25">
      <c r="A704" s="3">
        <v>42146</v>
      </c>
    </row>
    <row r="705" spans="1:1" x14ac:dyDescent="0.25">
      <c r="A705" s="3">
        <v>42147</v>
      </c>
    </row>
    <row r="706" spans="1:1" x14ac:dyDescent="0.25">
      <c r="A706" s="3">
        <v>42148</v>
      </c>
    </row>
    <row r="707" spans="1:1" x14ac:dyDescent="0.25">
      <c r="A707" s="3">
        <v>42149</v>
      </c>
    </row>
    <row r="708" spans="1:1" x14ac:dyDescent="0.25">
      <c r="A708" s="3">
        <v>42150</v>
      </c>
    </row>
    <row r="709" spans="1:1" x14ac:dyDescent="0.25">
      <c r="A709" s="3">
        <v>42151</v>
      </c>
    </row>
    <row r="710" spans="1:1" x14ac:dyDescent="0.25">
      <c r="A710" s="3">
        <v>42152</v>
      </c>
    </row>
    <row r="711" spans="1:1" x14ac:dyDescent="0.25">
      <c r="A711" s="3">
        <v>42153</v>
      </c>
    </row>
    <row r="712" spans="1:1" x14ac:dyDescent="0.25">
      <c r="A712" s="3">
        <v>42154</v>
      </c>
    </row>
    <row r="713" spans="1:1" x14ac:dyDescent="0.25">
      <c r="A713" s="3">
        <v>42155</v>
      </c>
    </row>
    <row r="714" spans="1:1" x14ac:dyDescent="0.25">
      <c r="A714" s="3">
        <v>42156</v>
      </c>
    </row>
    <row r="715" spans="1:1" x14ac:dyDescent="0.25">
      <c r="A715" s="3">
        <v>42157</v>
      </c>
    </row>
    <row r="716" spans="1:1" x14ac:dyDescent="0.25">
      <c r="A716" s="3">
        <v>42158</v>
      </c>
    </row>
    <row r="717" spans="1:1" x14ac:dyDescent="0.25">
      <c r="A717" s="3">
        <v>42159</v>
      </c>
    </row>
    <row r="718" spans="1:1" x14ac:dyDescent="0.25">
      <c r="A718" s="3">
        <v>42160</v>
      </c>
    </row>
    <row r="719" spans="1:1" x14ac:dyDescent="0.25">
      <c r="A719" s="3">
        <v>42161</v>
      </c>
    </row>
    <row r="720" spans="1:1" x14ac:dyDescent="0.25">
      <c r="A720" s="3">
        <v>42162</v>
      </c>
    </row>
    <row r="721" spans="1:1" x14ac:dyDescent="0.25">
      <c r="A721" s="3">
        <v>42163</v>
      </c>
    </row>
    <row r="722" spans="1:1" x14ac:dyDescent="0.25">
      <c r="A722" s="3">
        <v>42164</v>
      </c>
    </row>
    <row r="723" spans="1:1" x14ac:dyDescent="0.25">
      <c r="A723" s="3">
        <v>42165</v>
      </c>
    </row>
    <row r="724" spans="1:1" x14ac:dyDescent="0.25">
      <c r="A724" s="3">
        <v>42166</v>
      </c>
    </row>
    <row r="725" spans="1:1" x14ac:dyDescent="0.25">
      <c r="A725" s="3">
        <v>42167</v>
      </c>
    </row>
    <row r="726" spans="1:1" x14ac:dyDescent="0.25">
      <c r="A726" s="3">
        <v>42168</v>
      </c>
    </row>
    <row r="727" spans="1:1" x14ac:dyDescent="0.25">
      <c r="A727" s="3">
        <v>42169</v>
      </c>
    </row>
    <row r="728" spans="1:1" x14ac:dyDescent="0.25">
      <c r="A728" s="3">
        <v>42170</v>
      </c>
    </row>
    <row r="729" spans="1:1" x14ac:dyDescent="0.25">
      <c r="A729" s="3">
        <v>42171</v>
      </c>
    </row>
    <row r="730" spans="1:1" x14ac:dyDescent="0.25">
      <c r="A730" s="3">
        <v>42172</v>
      </c>
    </row>
    <row r="731" spans="1:1" x14ac:dyDescent="0.25">
      <c r="A731" s="3">
        <v>42173</v>
      </c>
    </row>
    <row r="732" spans="1:1" x14ac:dyDescent="0.25">
      <c r="A732" s="3">
        <v>42174</v>
      </c>
    </row>
    <row r="733" spans="1:1" x14ac:dyDescent="0.25">
      <c r="A733" s="3">
        <v>42175</v>
      </c>
    </row>
    <row r="734" spans="1:1" x14ac:dyDescent="0.25">
      <c r="A734" s="3">
        <v>42176</v>
      </c>
    </row>
    <row r="735" spans="1:1" x14ac:dyDescent="0.25">
      <c r="A735" s="3">
        <v>42177</v>
      </c>
    </row>
    <row r="736" spans="1:1" x14ac:dyDescent="0.25">
      <c r="A736" s="3">
        <v>42178</v>
      </c>
    </row>
    <row r="737" spans="1:1" x14ac:dyDescent="0.25">
      <c r="A737" s="3">
        <v>42179</v>
      </c>
    </row>
    <row r="738" spans="1:1" x14ac:dyDescent="0.25">
      <c r="A738" s="3">
        <v>42180</v>
      </c>
    </row>
    <row r="739" spans="1:1" x14ac:dyDescent="0.25">
      <c r="A739" s="3">
        <v>42181</v>
      </c>
    </row>
    <row r="740" spans="1:1" x14ac:dyDescent="0.25">
      <c r="A740" s="3">
        <v>42182</v>
      </c>
    </row>
    <row r="741" spans="1:1" x14ac:dyDescent="0.25">
      <c r="A741" s="3">
        <v>42183</v>
      </c>
    </row>
    <row r="742" spans="1:1" x14ac:dyDescent="0.25">
      <c r="A742" s="3">
        <v>42184</v>
      </c>
    </row>
    <row r="743" spans="1:1" x14ac:dyDescent="0.25">
      <c r="A743" s="3">
        <v>42185</v>
      </c>
    </row>
    <row r="744" spans="1:1" x14ac:dyDescent="0.25">
      <c r="A744" s="3">
        <v>42186</v>
      </c>
    </row>
    <row r="745" spans="1:1" x14ac:dyDescent="0.25">
      <c r="A745" s="3">
        <v>42187</v>
      </c>
    </row>
    <row r="746" spans="1:1" x14ac:dyDescent="0.25">
      <c r="A746" s="3">
        <v>42188</v>
      </c>
    </row>
    <row r="747" spans="1:1" x14ac:dyDescent="0.25">
      <c r="A747" s="3">
        <v>42189</v>
      </c>
    </row>
    <row r="748" spans="1:1" x14ac:dyDescent="0.25">
      <c r="A748" s="3">
        <v>42190</v>
      </c>
    </row>
    <row r="749" spans="1:1" x14ac:dyDescent="0.25">
      <c r="A749" s="3">
        <v>42191</v>
      </c>
    </row>
    <row r="750" spans="1:1" x14ac:dyDescent="0.25">
      <c r="A750" s="3">
        <v>42192</v>
      </c>
    </row>
    <row r="751" spans="1:1" x14ac:dyDescent="0.25">
      <c r="A751" s="3">
        <v>42193</v>
      </c>
    </row>
    <row r="752" spans="1:1" x14ac:dyDescent="0.25">
      <c r="A752" s="3">
        <v>42194</v>
      </c>
    </row>
    <row r="753" spans="1:1" x14ac:dyDescent="0.25">
      <c r="A753" s="3">
        <v>42195</v>
      </c>
    </row>
    <row r="754" spans="1:1" x14ac:dyDescent="0.25">
      <c r="A754" s="3">
        <v>42196</v>
      </c>
    </row>
    <row r="755" spans="1:1" x14ac:dyDescent="0.25">
      <c r="A755" s="3">
        <v>42197</v>
      </c>
    </row>
    <row r="756" spans="1:1" x14ac:dyDescent="0.25">
      <c r="A756" s="3">
        <v>42198</v>
      </c>
    </row>
    <row r="757" spans="1:1" x14ac:dyDescent="0.25">
      <c r="A757" s="3">
        <v>42199</v>
      </c>
    </row>
    <row r="758" spans="1:1" x14ac:dyDescent="0.25">
      <c r="A758" s="3">
        <v>42200</v>
      </c>
    </row>
    <row r="759" spans="1:1" x14ac:dyDescent="0.25">
      <c r="A759" s="3">
        <v>42201</v>
      </c>
    </row>
    <row r="760" spans="1:1" x14ac:dyDescent="0.25">
      <c r="A760" s="3">
        <v>42202</v>
      </c>
    </row>
    <row r="761" spans="1:1" x14ac:dyDescent="0.25">
      <c r="A761" s="3">
        <v>42203</v>
      </c>
    </row>
    <row r="762" spans="1:1" x14ac:dyDescent="0.25">
      <c r="A762" s="3">
        <v>42204</v>
      </c>
    </row>
    <row r="763" spans="1:1" x14ac:dyDescent="0.25">
      <c r="A763" s="3">
        <v>42205</v>
      </c>
    </row>
    <row r="764" spans="1:1" x14ac:dyDescent="0.25">
      <c r="A764" s="3">
        <v>42206</v>
      </c>
    </row>
    <row r="765" spans="1:1" x14ac:dyDescent="0.25">
      <c r="A765" s="3">
        <v>42207</v>
      </c>
    </row>
    <row r="766" spans="1:1" x14ac:dyDescent="0.25">
      <c r="A766" s="3">
        <v>42208</v>
      </c>
    </row>
    <row r="767" spans="1:1" x14ac:dyDescent="0.25">
      <c r="A767" s="3">
        <v>42209</v>
      </c>
    </row>
    <row r="768" spans="1:1" x14ac:dyDescent="0.25">
      <c r="A768" s="3">
        <v>42210</v>
      </c>
    </row>
    <row r="769" spans="1:1" x14ac:dyDescent="0.25">
      <c r="A769" s="3">
        <v>42211</v>
      </c>
    </row>
    <row r="770" spans="1:1" x14ac:dyDescent="0.25">
      <c r="A770" s="3">
        <v>42212</v>
      </c>
    </row>
    <row r="771" spans="1:1" x14ac:dyDescent="0.25">
      <c r="A771" s="3">
        <v>42213</v>
      </c>
    </row>
    <row r="772" spans="1:1" x14ac:dyDescent="0.25">
      <c r="A772" s="3">
        <v>42214</v>
      </c>
    </row>
    <row r="773" spans="1:1" x14ac:dyDescent="0.25">
      <c r="A773" s="3">
        <v>42215</v>
      </c>
    </row>
    <row r="774" spans="1:1" x14ac:dyDescent="0.25">
      <c r="A774" s="3">
        <v>42216</v>
      </c>
    </row>
    <row r="775" spans="1:1" x14ac:dyDescent="0.25">
      <c r="A775" s="3">
        <v>42217</v>
      </c>
    </row>
    <row r="776" spans="1:1" x14ac:dyDescent="0.25">
      <c r="A776" s="3">
        <v>42218</v>
      </c>
    </row>
    <row r="777" spans="1:1" x14ac:dyDescent="0.25">
      <c r="A777" s="3">
        <v>42219</v>
      </c>
    </row>
    <row r="778" spans="1:1" x14ac:dyDescent="0.25">
      <c r="A778" s="3">
        <v>42220</v>
      </c>
    </row>
    <row r="779" spans="1:1" x14ac:dyDescent="0.25">
      <c r="A779" s="3">
        <v>42221</v>
      </c>
    </row>
    <row r="780" spans="1:1" x14ac:dyDescent="0.25">
      <c r="A780" s="3">
        <v>42222</v>
      </c>
    </row>
    <row r="781" spans="1:1" x14ac:dyDescent="0.25">
      <c r="A781" s="3">
        <v>42223</v>
      </c>
    </row>
    <row r="782" spans="1:1" x14ac:dyDescent="0.25">
      <c r="A782" s="3">
        <v>42224</v>
      </c>
    </row>
    <row r="783" spans="1:1" x14ac:dyDescent="0.25">
      <c r="A783" s="3">
        <v>42225</v>
      </c>
    </row>
    <row r="784" spans="1:1" x14ac:dyDescent="0.25">
      <c r="A784" s="3">
        <v>42226</v>
      </c>
    </row>
    <row r="785" spans="1:1" x14ac:dyDescent="0.25">
      <c r="A785" s="3">
        <v>42227</v>
      </c>
    </row>
    <row r="786" spans="1:1" x14ac:dyDescent="0.25">
      <c r="A786" s="3">
        <v>42228</v>
      </c>
    </row>
    <row r="787" spans="1:1" x14ac:dyDescent="0.25">
      <c r="A787" s="3">
        <v>42229</v>
      </c>
    </row>
    <row r="788" spans="1:1" x14ac:dyDescent="0.25">
      <c r="A788" s="3">
        <v>42230</v>
      </c>
    </row>
    <row r="789" spans="1:1" x14ac:dyDescent="0.25">
      <c r="A789" s="3">
        <v>42231</v>
      </c>
    </row>
    <row r="790" spans="1:1" x14ac:dyDescent="0.25">
      <c r="A790" s="3">
        <v>42232</v>
      </c>
    </row>
    <row r="791" spans="1:1" x14ac:dyDescent="0.25">
      <c r="A791" s="3">
        <v>42233</v>
      </c>
    </row>
    <row r="792" spans="1:1" x14ac:dyDescent="0.25">
      <c r="A792" s="3">
        <v>42234</v>
      </c>
    </row>
    <row r="793" spans="1:1" x14ac:dyDescent="0.25">
      <c r="A793" s="3">
        <v>42235</v>
      </c>
    </row>
    <row r="794" spans="1:1" x14ac:dyDescent="0.25">
      <c r="A794" s="3">
        <v>42236</v>
      </c>
    </row>
    <row r="795" spans="1:1" x14ac:dyDescent="0.25">
      <c r="A795" s="3">
        <v>42237</v>
      </c>
    </row>
    <row r="796" spans="1:1" x14ac:dyDescent="0.25">
      <c r="A796" s="3">
        <v>42238</v>
      </c>
    </row>
    <row r="797" spans="1:1" x14ac:dyDescent="0.25">
      <c r="A797" s="3">
        <v>42239</v>
      </c>
    </row>
    <row r="798" spans="1:1" x14ac:dyDescent="0.25">
      <c r="A798" s="3">
        <v>42240</v>
      </c>
    </row>
    <row r="799" spans="1:1" x14ac:dyDescent="0.25">
      <c r="A799" s="3">
        <v>42241</v>
      </c>
    </row>
    <row r="800" spans="1:1" x14ac:dyDescent="0.25">
      <c r="A800" s="3">
        <v>42242</v>
      </c>
    </row>
    <row r="801" spans="1:1" x14ac:dyDescent="0.25">
      <c r="A801" s="3">
        <v>42243</v>
      </c>
    </row>
    <row r="802" spans="1:1" x14ac:dyDescent="0.25">
      <c r="A802" s="3">
        <v>42244</v>
      </c>
    </row>
    <row r="803" spans="1:1" x14ac:dyDescent="0.25">
      <c r="A803" s="3">
        <v>42245</v>
      </c>
    </row>
    <row r="804" spans="1:1" x14ac:dyDescent="0.25">
      <c r="A804" s="3">
        <v>42246</v>
      </c>
    </row>
    <row r="805" spans="1:1" x14ac:dyDescent="0.25">
      <c r="A805" s="3">
        <v>42247</v>
      </c>
    </row>
    <row r="806" spans="1:1" x14ac:dyDescent="0.25">
      <c r="A806" s="3">
        <v>42248</v>
      </c>
    </row>
    <row r="807" spans="1:1" x14ac:dyDescent="0.25">
      <c r="A807" s="3">
        <v>42249</v>
      </c>
    </row>
    <row r="808" spans="1:1" x14ac:dyDescent="0.25">
      <c r="A808" s="3">
        <v>42250</v>
      </c>
    </row>
    <row r="809" spans="1:1" x14ac:dyDescent="0.25">
      <c r="A809" s="3">
        <v>42251</v>
      </c>
    </row>
    <row r="810" spans="1:1" x14ac:dyDescent="0.25">
      <c r="A810" s="3">
        <v>42252</v>
      </c>
    </row>
    <row r="811" spans="1:1" x14ac:dyDescent="0.25">
      <c r="A811" s="3">
        <v>42253</v>
      </c>
    </row>
    <row r="812" spans="1:1" x14ac:dyDescent="0.25">
      <c r="A812" s="3">
        <v>42254</v>
      </c>
    </row>
    <row r="813" spans="1:1" x14ac:dyDescent="0.25">
      <c r="A813" s="3">
        <v>42255</v>
      </c>
    </row>
    <row r="814" spans="1:1" x14ac:dyDescent="0.25">
      <c r="A814" s="3">
        <v>42256</v>
      </c>
    </row>
    <row r="815" spans="1:1" x14ac:dyDescent="0.25">
      <c r="A815" s="3">
        <v>42257</v>
      </c>
    </row>
    <row r="816" spans="1:1" x14ac:dyDescent="0.25">
      <c r="A816" s="3">
        <v>42258</v>
      </c>
    </row>
    <row r="817" spans="1:1" x14ac:dyDescent="0.25">
      <c r="A817" s="3">
        <v>42259</v>
      </c>
    </row>
    <row r="818" spans="1:1" x14ac:dyDescent="0.25">
      <c r="A818" s="3">
        <v>42260</v>
      </c>
    </row>
    <row r="819" spans="1:1" x14ac:dyDescent="0.25">
      <c r="A819" s="3">
        <v>42261</v>
      </c>
    </row>
    <row r="820" spans="1:1" x14ac:dyDescent="0.25">
      <c r="A820" s="3">
        <v>42262</v>
      </c>
    </row>
    <row r="821" spans="1:1" x14ac:dyDescent="0.25">
      <c r="A821" s="3">
        <v>42263</v>
      </c>
    </row>
    <row r="822" spans="1:1" x14ac:dyDescent="0.25">
      <c r="A822" s="3">
        <v>42264</v>
      </c>
    </row>
    <row r="823" spans="1:1" x14ac:dyDescent="0.25">
      <c r="A823" s="3">
        <v>42265</v>
      </c>
    </row>
    <row r="824" spans="1:1" x14ac:dyDescent="0.25">
      <c r="A824" s="3">
        <v>42266</v>
      </c>
    </row>
    <row r="825" spans="1:1" x14ac:dyDescent="0.25">
      <c r="A825" s="3">
        <v>42267</v>
      </c>
    </row>
    <row r="826" spans="1:1" x14ac:dyDescent="0.25">
      <c r="A826" s="3">
        <v>42268</v>
      </c>
    </row>
    <row r="827" spans="1:1" x14ac:dyDescent="0.25">
      <c r="A827" s="3">
        <v>42269</v>
      </c>
    </row>
    <row r="828" spans="1:1" x14ac:dyDescent="0.25">
      <c r="A828" s="3">
        <v>42270</v>
      </c>
    </row>
    <row r="829" spans="1:1" x14ac:dyDescent="0.25">
      <c r="A829" s="3">
        <v>42271</v>
      </c>
    </row>
    <row r="830" spans="1:1" x14ac:dyDescent="0.25">
      <c r="A830" s="3">
        <v>42272</v>
      </c>
    </row>
    <row r="831" spans="1:1" x14ac:dyDescent="0.25">
      <c r="A831" s="3">
        <v>42273</v>
      </c>
    </row>
    <row r="832" spans="1:1" x14ac:dyDescent="0.25">
      <c r="A832" s="3">
        <v>42274</v>
      </c>
    </row>
    <row r="833" spans="1:1" x14ac:dyDescent="0.25">
      <c r="A833" s="3">
        <v>42275</v>
      </c>
    </row>
    <row r="834" spans="1:1" x14ac:dyDescent="0.25">
      <c r="A834" s="3">
        <v>42276</v>
      </c>
    </row>
    <row r="835" spans="1:1" x14ac:dyDescent="0.25">
      <c r="A835" s="3">
        <v>42277</v>
      </c>
    </row>
    <row r="836" spans="1:1" x14ac:dyDescent="0.25">
      <c r="A836" s="3">
        <v>42278</v>
      </c>
    </row>
    <row r="837" spans="1:1" x14ac:dyDescent="0.25">
      <c r="A837" s="3">
        <v>42279</v>
      </c>
    </row>
    <row r="838" spans="1:1" x14ac:dyDescent="0.25">
      <c r="A838" s="3">
        <v>42280</v>
      </c>
    </row>
    <row r="839" spans="1:1" x14ac:dyDescent="0.25">
      <c r="A839" s="3">
        <v>42281</v>
      </c>
    </row>
    <row r="840" spans="1:1" x14ac:dyDescent="0.25">
      <c r="A840" s="3">
        <v>42282</v>
      </c>
    </row>
    <row r="841" spans="1:1" x14ac:dyDescent="0.25">
      <c r="A841" s="3">
        <v>42283</v>
      </c>
    </row>
    <row r="842" spans="1:1" x14ac:dyDescent="0.25">
      <c r="A842" s="3">
        <v>42284</v>
      </c>
    </row>
    <row r="843" spans="1:1" x14ac:dyDescent="0.25">
      <c r="A843" s="3">
        <v>42285</v>
      </c>
    </row>
    <row r="844" spans="1:1" x14ac:dyDescent="0.25">
      <c r="A844" s="3">
        <v>42286</v>
      </c>
    </row>
    <row r="845" spans="1:1" x14ac:dyDescent="0.25">
      <c r="A845" s="3">
        <v>42287</v>
      </c>
    </row>
    <row r="846" spans="1:1" x14ac:dyDescent="0.25">
      <c r="A846" s="3">
        <v>42288</v>
      </c>
    </row>
    <row r="847" spans="1:1" x14ac:dyDescent="0.25">
      <c r="A847" s="3">
        <v>42289</v>
      </c>
    </row>
    <row r="848" spans="1:1" x14ac:dyDescent="0.25">
      <c r="A848" s="3">
        <v>42290</v>
      </c>
    </row>
    <row r="849" spans="1:1" x14ac:dyDescent="0.25">
      <c r="A849" s="3">
        <v>42291</v>
      </c>
    </row>
    <row r="850" spans="1:1" x14ac:dyDescent="0.25">
      <c r="A850" s="3">
        <v>42292</v>
      </c>
    </row>
    <row r="851" spans="1:1" x14ac:dyDescent="0.25">
      <c r="A851" s="3">
        <v>42293</v>
      </c>
    </row>
    <row r="852" spans="1:1" x14ac:dyDescent="0.25">
      <c r="A852" s="3">
        <v>42294</v>
      </c>
    </row>
    <row r="853" spans="1:1" x14ac:dyDescent="0.25">
      <c r="A853" s="3">
        <v>42295</v>
      </c>
    </row>
    <row r="854" spans="1:1" x14ac:dyDescent="0.25">
      <c r="A854" s="3">
        <v>42296</v>
      </c>
    </row>
    <row r="855" spans="1:1" x14ac:dyDescent="0.25">
      <c r="A855" s="3">
        <v>42297</v>
      </c>
    </row>
    <row r="856" spans="1:1" x14ac:dyDescent="0.25">
      <c r="A856" s="3">
        <v>42298</v>
      </c>
    </row>
    <row r="857" spans="1:1" x14ac:dyDescent="0.25">
      <c r="A857" s="3">
        <v>42299</v>
      </c>
    </row>
    <row r="858" spans="1:1" x14ac:dyDescent="0.25">
      <c r="A858" s="3">
        <v>42300</v>
      </c>
    </row>
    <row r="859" spans="1:1" x14ac:dyDescent="0.25">
      <c r="A859" s="3">
        <v>42301</v>
      </c>
    </row>
    <row r="860" spans="1:1" x14ac:dyDescent="0.25">
      <c r="A860" s="3">
        <v>42302</v>
      </c>
    </row>
    <row r="861" spans="1:1" x14ac:dyDescent="0.25">
      <c r="A861" s="3">
        <v>42303</v>
      </c>
    </row>
    <row r="862" spans="1:1" x14ac:dyDescent="0.25">
      <c r="A862" s="3">
        <v>42304</v>
      </c>
    </row>
    <row r="863" spans="1:1" x14ac:dyDescent="0.25">
      <c r="A863" s="3">
        <v>42305</v>
      </c>
    </row>
    <row r="864" spans="1:1" x14ac:dyDescent="0.25">
      <c r="A864" s="3">
        <v>42306</v>
      </c>
    </row>
    <row r="865" spans="1:1" x14ac:dyDescent="0.25">
      <c r="A865" s="3">
        <v>42307</v>
      </c>
    </row>
    <row r="866" spans="1:1" x14ac:dyDescent="0.25">
      <c r="A866" s="3">
        <v>42308</v>
      </c>
    </row>
    <row r="867" spans="1:1" x14ac:dyDescent="0.25">
      <c r="A867" s="3">
        <v>42309</v>
      </c>
    </row>
    <row r="868" spans="1:1" x14ac:dyDescent="0.25">
      <c r="A868" s="3">
        <v>42310</v>
      </c>
    </row>
    <row r="869" spans="1:1" x14ac:dyDescent="0.25">
      <c r="A869" s="3">
        <v>42311</v>
      </c>
    </row>
    <row r="870" spans="1:1" x14ac:dyDescent="0.25">
      <c r="A870" s="3">
        <v>42312</v>
      </c>
    </row>
    <row r="871" spans="1:1" x14ac:dyDescent="0.25">
      <c r="A871" s="3">
        <v>42313</v>
      </c>
    </row>
    <row r="872" spans="1:1" x14ac:dyDescent="0.25">
      <c r="A872" s="3">
        <v>42314</v>
      </c>
    </row>
    <row r="873" spans="1:1" x14ac:dyDescent="0.25">
      <c r="A873" s="3">
        <v>42315</v>
      </c>
    </row>
    <row r="874" spans="1:1" x14ac:dyDescent="0.25">
      <c r="A874" s="3">
        <v>42316</v>
      </c>
    </row>
    <row r="875" spans="1:1" x14ac:dyDescent="0.25">
      <c r="A875" s="3">
        <v>42317</v>
      </c>
    </row>
    <row r="876" spans="1:1" x14ac:dyDescent="0.25">
      <c r="A876" s="3">
        <v>42318</v>
      </c>
    </row>
    <row r="877" spans="1:1" x14ac:dyDescent="0.25">
      <c r="A877" s="3">
        <v>42319</v>
      </c>
    </row>
    <row r="878" spans="1:1" x14ac:dyDescent="0.25">
      <c r="A878" s="3">
        <v>42320</v>
      </c>
    </row>
    <row r="879" spans="1:1" x14ac:dyDescent="0.25">
      <c r="A879" s="3">
        <v>42321</v>
      </c>
    </row>
    <row r="880" spans="1:1" x14ac:dyDescent="0.25">
      <c r="A880" s="3">
        <v>42322</v>
      </c>
    </row>
    <row r="881" spans="1:1" x14ac:dyDescent="0.25">
      <c r="A881" s="3">
        <v>42323</v>
      </c>
    </row>
    <row r="882" spans="1:1" x14ac:dyDescent="0.25">
      <c r="A882" s="3">
        <v>42324</v>
      </c>
    </row>
    <row r="883" spans="1:1" x14ac:dyDescent="0.25">
      <c r="A883" s="3">
        <v>42325</v>
      </c>
    </row>
    <row r="884" spans="1:1" x14ac:dyDescent="0.25">
      <c r="A884" s="3">
        <v>42326</v>
      </c>
    </row>
    <row r="885" spans="1:1" x14ac:dyDescent="0.25">
      <c r="A885" s="3">
        <v>42327</v>
      </c>
    </row>
    <row r="886" spans="1:1" x14ac:dyDescent="0.25">
      <c r="A886" s="3">
        <v>42328</v>
      </c>
    </row>
    <row r="887" spans="1:1" x14ac:dyDescent="0.25">
      <c r="A887" s="3">
        <v>42329</v>
      </c>
    </row>
    <row r="888" spans="1:1" x14ac:dyDescent="0.25">
      <c r="A888" s="3">
        <v>42330</v>
      </c>
    </row>
    <row r="889" spans="1:1" x14ac:dyDescent="0.25">
      <c r="A889" s="3">
        <v>42331</v>
      </c>
    </row>
    <row r="890" spans="1:1" x14ac:dyDescent="0.25">
      <c r="A890" s="3">
        <v>42332</v>
      </c>
    </row>
    <row r="891" spans="1:1" x14ac:dyDescent="0.25">
      <c r="A891" s="3">
        <v>42333</v>
      </c>
    </row>
    <row r="892" spans="1:1" x14ac:dyDescent="0.25">
      <c r="A892" s="3">
        <v>42334</v>
      </c>
    </row>
    <row r="893" spans="1:1" x14ac:dyDescent="0.25">
      <c r="A893" s="3">
        <v>42335</v>
      </c>
    </row>
    <row r="894" spans="1:1" x14ac:dyDescent="0.25">
      <c r="A894" s="3">
        <v>42336</v>
      </c>
    </row>
    <row r="895" spans="1:1" x14ac:dyDescent="0.25">
      <c r="A895" s="3">
        <v>42337</v>
      </c>
    </row>
    <row r="896" spans="1:1" x14ac:dyDescent="0.25">
      <c r="A896" s="3">
        <v>42338</v>
      </c>
    </row>
    <row r="897" spans="1:1" x14ac:dyDescent="0.25">
      <c r="A897" s="3">
        <v>42339</v>
      </c>
    </row>
    <row r="898" spans="1:1" x14ac:dyDescent="0.25">
      <c r="A898" s="3">
        <v>42340</v>
      </c>
    </row>
    <row r="899" spans="1:1" x14ac:dyDescent="0.25">
      <c r="A899" s="3">
        <v>42341</v>
      </c>
    </row>
    <row r="900" spans="1:1" x14ac:dyDescent="0.25">
      <c r="A900" s="3">
        <v>42342</v>
      </c>
    </row>
    <row r="901" spans="1:1" x14ac:dyDescent="0.25">
      <c r="A901" s="3">
        <v>42343</v>
      </c>
    </row>
    <row r="902" spans="1:1" x14ac:dyDescent="0.25">
      <c r="A902" s="3">
        <v>42344</v>
      </c>
    </row>
    <row r="903" spans="1:1" x14ac:dyDescent="0.25">
      <c r="A903" s="3">
        <v>42345</v>
      </c>
    </row>
    <row r="904" spans="1:1" x14ac:dyDescent="0.25">
      <c r="A904" s="3">
        <v>42346</v>
      </c>
    </row>
    <row r="905" spans="1:1" x14ac:dyDescent="0.25">
      <c r="A905" s="3">
        <v>42347</v>
      </c>
    </row>
    <row r="906" spans="1:1" x14ac:dyDescent="0.25">
      <c r="A906" s="3">
        <v>42348</v>
      </c>
    </row>
    <row r="907" spans="1:1" x14ac:dyDescent="0.25">
      <c r="A907" s="3">
        <v>42349</v>
      </c>
    </row>
    <row r="908" spans="1:1" x14ac:dyDescent="0.25">
      <c r="A908" s="3">
        <v>42350</v>
      </c>
    </row>
    <row r="909" spans="1:1" x14ac:dyDescent="0.25">
      <c r="A909" s="3">
        <v>42351</v>
      </c>
    </row>
    <row r="910" spans="1:1" x14ac:dyDescent="0.25">
      <c r="A910" s="3">
        <v>42352</v>
      </c>
    </row>
    <row r="911" spans="1:1" x14ac:dyDescent="0.25">
      <c r="A911" s="3">
        <v>42353</v>
      </c>
    </row>
    <row r="912" spans="1:1" x14ac:dyDescent="0.25">
      <c r="A912" s="3">
        <v>42354</v>
      </c>
    </row>
    <row r="913" spans="1:1" x14ac:dyDescent="0.25">
      <c r="A913" s="3">
        <v>42355</v>
      </c>
    </row>
    <row r="914" spans="1:1" x14ac:dyDescent="0.25">
      <c r="A914" s="3">
        <v>42356</v>
      </c>
    </row>
    <row r="915" spans="1:1" x14ac:dyDescent="0.25">
      <c r="A915" s="3">
        <v>42357</v>
      </c>
    </row>
    <row r="916" spans="1:1" x14ac:dyDescent="0.25">
      <c r="A916" s="3">
        <v>42358</v>
      </c>
    </row>
    <row r="917" spans="1:1" x14ac:dyDescent="0.25">
      <c r="A917" s="3">
        <v>42359</v>
      </c>
    </row>
    <row r="918" spans="1:1" x14ac:dyDescent="0.25">
      <c r="A918" s="3">
        <v>42360</v>
      </c>
    </row>
    <row r="919" spans="1:1" x14ac:dyDescent="0.25">
      <c r="A919" s="3">
        <v>42361</v>
      </c>
    </row>
    <row r="920" spans="1:1" x14ac:dyDescent="0.25">
      <c r="A920" s="3">
        <v>42362</v>
      </c>
    </row>
    <row r="921" spans="1:1" x14ac:dyDescent="0.25">
      <c r="A921" s="3">
        <v>42363</v>
      </c>
    </row>
    <row r="922" spans="1:1" x14ac:dyDescent="0.25">
      <c r="A922" s="3">
        <v>42364</v>
      </c>
    </row>
    <row r="923" spans="1:1" x14ac:dyDescent="0.25">
      <c r="A923" s="3">
        <v>42365</v>
      </c>
    </row>
    <row r="924" spans="1:1" x14ac:dyDescent="0.25">
      <c r="A924" s="3">
        <v>42366</v>
      </c>
    </row>
    <row r="925" spans="1:1" x14ac:dyDescent="0.25">
      <c r="A925" s="3">
        <v>42367</v>
      </c>
    </row>
    <row r="926" spans="1:1" x14ac:dyDescent="0.25">
      <c r="A926" s="3">
        <v>42368</v>
      </c>
    </row>
    <row r="927" spans="1:1" x14ac:dyDescent="0.25">
      <c r="A927" s="3">
        <v>42369</v>
      </c>
    </row>
    <row r="928" spans="1:1" x14ac:dyDescent="0.25">
      <c r="A928" s="3">
        <v>42370</v>
      </c>
    </row>
    <row r="929" spans="1:1" x14ac:dyDescent="0.25">
      <c r="A929" s="3">
        <v>42371</v>
      </c>
    </row>
    <row r="930" spans="1:1" x14ac:dyDescent="0.25">
      <c r="A930" s="3">
        <v>42372</v>
      </c>
    </row>
    <row r="931" spans="1:1" x14ac:dyDescent="0.25">
      <c r="A931" s="3">
        <v>42373</v>
      </c>
    </row>
    <row r="932" spans="1:1" x14ac:dyDescent="0.25">
      <c r="A932" s="3">
        <v>42374</v>
      </c>
    </row>
    <row r="933" spans="1:1" x14ac:dyDescent="0.25">
      <c r="A933" s="3">
        <v>42375</v>
      </c>
    </row>
    <row r="934" spans="1:1" x14ac:dyDescent="0.25">
      <c r="A934" s="3">
        <v>42376</v>
      </c>
    </row>
    <row r="935" spans="1:1" x14ac:dyDescent="0.25">
      <c r="A935" s="3">
        <v>42377</v>
      </c>
    </row>
    <row r="936" spans="1:1" x14ac:dyDescent="0.25">
      <c r="A936" s="3">
        <v>42378</v>
      </c>
    </row>
    <row r="937" spans="1:1" x14ac:dyDescent="0.25">
      <c r="A937" s="3">
        <v>42379</v>
      </c>
    </row>
    <row r="938" spans="1:1" x14ac:dyDescent="0.25">
      <c r="A938" s="3">
        <v>42380</v>
      </c>
    </row>
    <row r="939" spans="1:1" x14ac:dyDescent="0.25">
      <c r="A939" s="3">
        <v>42381</v>
      </c>
    </row>
    <row r="940" spans="1:1" x14ac:dyDescent="0.25">
      <c r="A940" s="3">
        <v>42382</v>
      </c>
    </row>
    <row r="941" spans="1:1" x14ac:dyDescent="0.25">
      <c r="A941" s="3">
        <v>42383</v>
      </c>
    </row>
    <row r="942" spans="1:1" x14ac:dyDescent="0.25">
      <c r="A942" s="3">
        <v>42384</v>
      </c>
    </row>
    <row r="943" spans="1:1" x14ac:dyDescent="0.25">
      <c r="A943" s="3">
        <v>42385</v>
      </c>
    </row>
    <row r="944" spans="1:1" x14ac:dyDescent="0.25">
      <c r="A944" s="3">
        <v>42386</v>
      </c>
    </row>
    <row r="945" spans="1:1" x14ac:dyDescent="0.25">
      <c r="A945" s="3">
        <v>42387</v>
      </c>
    </row>
    <row r="946" spans="1:1" x14ac:dyDescent="0.25">
      <c r="A946" s="3">
        <v>42388</v>
      </c>
    </row>
    <row r="947" spans="1:1" x14ac:dyDescent="0.25">
      <c r="A947" s="3">
        <v>42389</v>
      </c>
    </row>
    <row r="948" spans="1:1" x14ac:dyDescent="0.25">
      <c r="A948" s="3">
        <v>42390</v>
      </c>
    </row>
    <row r="949" spans="1:1" x14ac:dyDescent="0.25">
      <c r="A949" s="3">
        <v>42391</v>
      </c>
    </row>
    <row r="950" spans="1:1" x14ac:dyDescent="0.25">
      <c r="A950" s="3">
        <v>42392</v>
      </c>
    </row>
    <row r="951" spans="1:1" x14ac:dyDescent="0.25">
      <c r="A951" s="3">
        <v>42393</v>
      </c>
    </row>
    <row r="952" spans="1:1" x14ac:dyDescent="0.25">
      <c r="A952" s="3">
        <v>42394</v>
      </c>
    </row>
    <row r="953" spans="1:1" x14ac:dyDescent="0.25">
      <c r="A953" s="3">
        <v>42395</v>
      </c>
    </row>
    <row r="954" spans="1:1" x14ac:dyDescent="0.25">
      <c r="A954" s="3">
        <v>42396</v>
      </c>
    </row>
    <row r="955" spans="1:1" x14ac:dyDescent="0.25">
      <c r="A955" s="3">
        <v>42397</v>
      </c>
    </row>
    <row r="956" spans="1:1" x14ac:dyDescent="0.25">
      <c r="A956" s="3">
        <v>42398</v>
      </c>
    </row>
    <row r="957" spans="1:1" x14ac:dyDescent="0.25">
      <c r="A957" s="3">
        <v>42399</v>
      </c>
    </row>
    <row r="958" spans="1:1" x14ac:dyDescent="0.25">
      <c r="A958" s="3">
        <v>42400</v>
      </c>
    </row>
    <row r="959" spans="1:1" x14ac:dyDescent="0.25">
      <c r="A959" s="3">
        <v>42401</v>
      </c>
    </row>
    <row r="960" spans="1:1" x14ac:dyDescent="0.25">
      <c r="A960" s="3">
        <v>42402</v>
      </c>
    </row>
    <row r="961" spans="1:1" x14ac:dyDescent="0.25">
      <c r="A961" s="3">
        <v>42403</v>
      </c>
    </row>
    <row r="962" spans="1:1" x14ac:dyDescent="0.25">
      <c r="A962" s="3">
        <v>42404</v>
      </c>
    </row>
    <row r="963" spans="1:1" x14ac:dyDescent="0.25">
      <c r="A963" s="3">
        <v>42405</v>
      </c>
    </row>
    <row r="964" spans="1:1" x14ac:dyDescent="0.25">
      <c r="A964" s="3">
        <v>42406</v>
      </c>
    </row>
    <row r="965" spans="1:1" x14ac:dyDescent="0.25">
      <c r="A965" s="3">
        <v>42407</v>
      </c>
    </row>
    <row r="966" spans="1:1" x14ac:dyDescent="0.25">
      <c r="A966" s="3">
        <v>42408</v>
      </c>
    </row>
    <row r="967" spans="1:1" x14ac:dyDescent="0.25">
      <c r="A967" s="3">
        <v>42409</v>
      </c>
    </row>
    <row r="968" spans="1:1" x14ac:dyDescent="0.25">
      <c r="A968" s="3">
        <v>42410</v>
      </c>
    </row>
    <row r="969" spans="1:1" x14ac:dyDescent="0.25">
      <c r="A969" s="3">
        <v>42411</v>
      </c>
    </row>
    <row r="970" spans="1:1" x14ac:dyDescent="0.25">
      <c r="A970" s="3">
        <v>42412</v>
      </c>
    </row>
    <row r="971" spans="1:1" x14ac:dyDescent="0.25">
      <c r="A971" s="3">
        <v>42413</v>
      </c>
    </row>
    <row r="972" spans="1:1" x14ac:dyDescent="0.25">
      <c r="A972" s="3">
        <v>42414</v>
      </c>
    </row>
    <row r="973" spans="1:1" x14ac:dyDescent="0.25">
      <c r="A973" s="3">
        <v>42415</v>
      </c>
    </row>
    <row r="974" spans="1:1" x14ac:dyDescent="0.25">
      <c r="A974" s="3">
        <v>42416</v>
      </c>
    </row>
    <row r="975" spans="1:1" x14ac:dyDescent="0.25">
      <c r="A975" s="3">
        <v>42417</v>
      </c>
    </row>
    <row r="976" spans="1:1" x14ac:dyDescent="0.25">
      <c r="A976" s="3">
        <v>42418</v>
      </c>
    </row>
    <row r="977" spans="1:1" x14ac:dyDescent="0.25">
      <c r="A977" s="3">
        <v>42419</v>
      </c>
    </row>
    <row r="978" spans="1:1" x14ac:dyDescent="0.25">
      <c r="A978" s="3">
        <v>42420</v>
      </c>
    </row>
    <row r="979" spans="1:1" x14ac:dyDescent="0.25">
      <c r="A979" s="3">
        <v>42421</v>
      </c>
    </row>
    <row r="980" spans="1:1" x14ac:dyDescent="0.25">
      <c r="A980" s="3">
        <v>42422</v>
      </c>
    </row>
    <row r="981" spans="1:1" x14ac:dyDescent="0.25">
      <c r="A981" s="3">
        <v>42423</v>
      </c>
    </row>
    <row r="982" spans="1:1" x14ac:dyDescent="0.25">
      <c r="A982" s="3">
        <v>42424</v>
      </c>
    </row>
    <row r="983" spans="1:1" x14ac:dyDescent="0.25">
      <c r="A983" s="3">
        <v>42425</v>
      </c>
    </row>
    <row r="984" spans="1:1" x14ac:dyDescent="0.25">
      <c r="A984" s="3">
        <v>42426</v>
      </c>
    </row>
    <row r="985" spans="1:1" x14ac:dyDescent="0.25">
      <c r="A985" s="3">
        <v>42427</v>
      </c>
    </row>
    <row r="986" spans="1:1" x14ac:dyDescent="0.25">
      <c r="A986" s="3">
        <v>42428</v>
      </c>
    </row>
    <row r="987" spans="1:1" x14ac:dyDescent="0.25">
      <c r="A987" s="3">
        <v>42429</v>
      </c>
    </row>
    <row r="988" spans="1:1" x14ac:dyDescent="0.25">
      <c r="A988" s="3">
        <v>42430</v>
      </c>
    </row>
    <row r="989" spans="1:1" x14ac:dyDescent="0.25">
      <c r="A989" s="3">
        <v>42431</v>
      </c>
    </row>
    <row r="990" spans="1:1" x14ac:dyDescent="0.25">
      <c r="A990" s="3">
        <v>42432</v>
      </c>
    </row>
    <row r="991" spans="1:1" x14ac:dyDescent="0.25">
      <c r="A991" s="3">
        <v>42433</v>
      </c>
    </row>
    <row r="992" spans="1:1" x14ac:dyDescent="0.25">
      <c r="A992" s="3">
        <v>42434</v>
      </c>
    </row>
    <row r="993" spans="1:1" x14ac:dyDescent="0.25">
      <c r="A993" s="3">
        <v>42435</v>
      </c>
    </row>
    <row r="994" spans="1:1" x14ac:dyDescent="0.25">
      <c r="A994" s="3">
        <v>42436</v>
      </c>
    </row>
    <row r="995" spans="1:1" x14ac:dyDescent="0.25">
      <c r="A995" s="3">
        <v>42437</v>
      </c>
    </row>
    <row r="996" spans="1:1" x14ac:dyDescent="0.25">
      <c r="A996" s="3">
        <v>42438</v>
      </c>
    </row>
    <row r="997" spans="1:1" x14ac:dyDescent="0.25">
      <c r="A997" s="3">
        <v>42439</v>
      </c>
    </row>
    <row r="998" spans="1:1" x14ac:dyDescent="0.25">
      <c r="A998" s="3">
        <v>42440</v>
      </c>
    </row>
    <row r="999" spans="1:1" x14ac:dyDescent="0.25">
      <c r="A999" s="3">
        <v>42441</v>
      </c>
    </row>
    <row r="1000" spans="1:1" x14ac:dyDescent="0.25">
      <c r="A1000" s="3">
        <v>42442</v>
      </c>
    </row>
    <row r="1001" spans="1:1" x14ac:dyDescent="0.25">
      <c r="A1001" s="3">
        <v>42443</v>
      </c>
    </row>
    <row r="1002" spans="1:1" x14ac:dyDescent="0.25">
      <c r="A1002" s="3">
        <v>42444</v>
      </c>
    </row>
    <row r="1003" spans="1:1" x14ac:dyDescent="0.25">
      <c r="A1003" s="3">
        <v>42445</v>
      </c>
    </row>
    <row r="1004" spans="1:1" x14ac:dyDescent="0.25">
      <c r="A1004" s="3">
        <v>42446</v>
      </c>
    </row>
    <row r="1005" spans="1:1" x14ac:dyDescent="0.25">
      <c r="A1005" s="3">
        <v>42447</v>
      </c>
    </row>
    <row r="1006" spans="1:1" x14ac:dyDescent="0.25">
      <c r="A1006" s="3">
        <v>42448</v>
      </c>
    </row>
    <row r="1007" spans="1:1" x14ac:dyDescent="0.25">
      <c r="A1007" s="3">
        <v>42449</v>
      </c>
    </row>
    <row r="1008" spans="1:1" x14ac:dyDescent="0.25">
      <c r="A1008" s="3">
        <v>42450</v>
      </c>
    </row>
    <row r="1009" spans="1:1" x14ac:dyDescent="0.25">
      <c r="A1009" s="3">
        <v>42451</v>
      </c>
    </row>
    <row r="1010" spans="1:1" x14ac:dyDescent="0.25">
      <c r="A1010" s="3">
        <v>42452</v>
      </c>
    </row>
    <row r="1011" spans="1:1" x14ac:dyDescent="0.25">
      <c r="A1011" s="3">
        <v>42453</v>
      </c>
    </row>
    <row r="1012" spans="1:1" x14ac:dyDescent="0.25">
      <c r="A1012" s="3">
        <v>42454</v>
      </c>
    </row>
    <row r="1013" spans="1:1" x14ac:dyDescent="0.25">
      <c r="A1013" s="3">
        <v>42455</v>
      </c>
    </row>
    <row r="1014" spans="1:1" x14ac:dyDescent="0.25">
      <c r="A1014" s="3">
        <v>42456</v>
      </c>
    </row>
    <row r="1015" spans="1:1" x14ac:dyDescent="0.25">
      <c r="A1015" s="3">
        <v>42457</v>
      </c>
    </row>
    <row r="1016" spans="1:1" x14ac:dyDescent="0.25">
      <c r="A1016" s="3">
        <v>42458</v>
      </c>
    </row>
    <row r="1017" spans="1:1" x14ac:dyDescent="0.25">
      <c r="A1017" s="3">
        <v>42459</v>
      </c>
    </row>
    <row r="1018" spans="1:1" x14ac:dyDescent="0.25">
      <c r="A1018" s="3">
        <v>42460</v>
      </c>
    </row>
    <row r="1019" spans="1:1" x14ac:dyDescent="0.25">
      <c r="A1019" s="3">
        <v>42461</v>
      </c>
    </row>
    <row r="1020" spans="1:1" x14ac:dyDescent="0.25">
      <c r="A1020" s="3">
        <v>42462</v>
      </c>
    </row>
    <row r="1021" spans="1:1" x14ac:dyDescent="0.25">
      <c r="A1021" s="3">
        <v>42463</v>
      </c>
    </row>
    <row r="1022" spans="1:1" x14ac:dyDescent="0.25">
      <c r="A1022" s="3">
        <v>42464</v>
      </c>
    </row>
    <row r="1023" spans="1:1" x14ac:dyDescent="0.25">
      <c r="A1023" s="3">
        <v>42465</v>
      </c>
    </row>
    <row r="1024" spans="1:1" x14ac:dyDescent="0.25">
      <c r="A1024" s="3">
        <v>42466</v>
      </c>
    </row>
    <row r="1025" spans="1:1" x14ac:dyDescent="0.25">
      <c r="A1025" s="3">
        <v>42467</v>
      </c>
    </row>
    <row r="1026" spans="1:1" x14ac:dyDescent="0.25">
      <c r="A1026" s="3">
        <v>42468</v>
      </c>
    </row>
    <row r="1027" spans="1:1" x14ac:dyDescent="0.25">
      <c r="A1027" s="3">
        <v>42469</v>
      </c>
    </row>
    <row r="1028" spans="1:1" x14ac:dyDescent="0.25">
      <c r="A1028" s="3">
        <v>42470</v>
      </c>
    </row>
    <row r="1029" spans="1:1" x14ac:dyDescent="0.25">
      <c r="A1029" s="3">
        <v>42471</v>
      </c>
    </row>
    <row r="1030" spans="1:1" x14ac:dyDescent="0.25">
      <c r="A1030" s="3">
        <v>42472</v>
      </c>
    </row>
    <row r="1031" spans="1:1" x14ac:dyDescent="0.25">
      <c r="A1031" s="3">
        <v>42473</v>
      </c>
    </row>
    <row r="1032" spans="1:1" x14ac:dyDescent="0.25">
      <c r="A1032" s="3">
        <v>42474</v>
      </c>
    </row>
    <row r="1033" spans="1:1" x14ac:dyDescent="0.25">
      <c r="A1033" s="3">
        <v>42475</v>
      </c>
    </row>
    <row r="1034" spans="1:1" x14ac:dyDescent="0.25">
      <c r="A1034" s="3">
        <v>42476</v>
      </c>
    </row>
    <row r="1035" spans="1:1" x14ac:dyDescent="0.25">
      <c r="A1035" s="3">
        <v>42477</v>
      </c>
    </row>
    <row r="1036" spans="1:1" x14ac:dyDescent="0.25">
      <c r="A1036" s="3">
        <v>42478</v>
      </c>
    </row>
    <row r="1037" spans="1:1" x14ac:dyDescent="0.25">
      <c r="A1037" s="3">
        <v>42479</v>
      </c>
    </row>
    <row r="1038" spans="1:1" x14ac:dyDescent="0.25">
      <c r="A1038" s="3">
        <v>42480</v>
      </c>
    </row>
    <row r="1039" spans="1:1" x14ac:dyDescent="0.25">
      <c r="A1039" s="3">
        <v>42481</v>
      </c>
    </row>
    <row r="1040" spans="1:1" x14ac:dyDescent="0.25">
      <c r="A1040" s="3">
        <v>42482</v>
      </c>
    </row>
    <row r="1041" spans="1:1" x14ac:dyDescent="0.25">
      <c r="A1041" s="3">
        <v>42483</v>
      </c>
    </row>
    <row r="1042" spans="1:1" x14ac:dyDescent="0.25">
      <c r="A1042" s="3">
        <v>42484</v>
      </c>
    </row>
    <row r="1043" spans="1:1" x14ac:dyDescent="0.25">
      <c r="A1043" s="3">
        <v>42485</v>
      </c>
    </row>
    <row r="1044" spans="1:1" x14ac:dyDescent="0.25">
      <c r="A1044" s="3">
        <v>42486</v>
      </c>
    </row>
    <row r="1045" spans="1:1" x14ac:dyDescent="0.25">
      <c r="A1045" s="3">
        <v>42487</v>
      </c>
    </row>
    <row r="1046" spans="1:1" x14ac:dyDescent="0.25">
      <c r="A1046" s="3">
        <v>42488</v>
      </c>
    </row>
    <row r="1047" spans="1:1" x14ac:dyDescent="0.25">
      <c r="A1047" s="3">
        <v>42489</v>
      </c>
    </row>
    <row r="1048" spans="1:1" x14ac:dyDescent="0.25">
      <c r="A1048" s="3">
        <v>42490</v>
      </c>
    </row>
    <row r="1049" spans="1:1" x14ac:dyDescent="0.25">
      <c r="A1049" s="3">
        <v>42491</v>
      </c>
    </row>
    <row r="1050" spans="1:1" x14ac:dyDescent="0.25">
      <c r="A1050" s="3">
        <v>42492</v>
      </c>
    </row>
    <row r="1051" spans="1:1" x14ac:dyDescent="0.25">
      <c r="A1051" s="3">
        <v>42493</v>
      </c>
    </row>
    <row r="1052" spans="1:1" x14ac:dyDescent="0.25">
      <c r="A1052" s="3">
        <v>42494</v>
      </c>
    </row>
    <row r="1053" spans="1:1" x14ac:dyDescent="0.25">
      <c r="A1053" s="3">
        <v>42495</v>
      </c>
    </row>
    <row r="1054" spans="1:1" x14ac:dyDescent="0.25">
      <c r="A1054" s="3">
        <v>42496</v>
      </c>
    </row>
    <row r="1055" spans="1:1" x14ac:dyDescent="0.25">
      <c r="A1055" s="3">
        <v>42497</v>
      </c>
    </row>
    <row r="1056" spans="1:1" x14ac:dyDescent="0.25">
      <c r="A1056" s="3">
        <v>42498</v>
      </c>
    </row>
    <row r="1057" spans="1:1" x14ac:dyDescent="0.25">
      <c r="A1057" s="3">
        <v>42499</v>
      </c>
    </row>
    <row r="1058" spans="1:1" x14ac:dyDescent="0.25">
      <c r="A1058" s="3">
        <v>42500</v>
      </c>
    </row>
    <row r="1059" spans="1:1" x14ac:dyDescent="0.25">
      <c r="A1059" s="3">
        <v>42501</v>
      </c>
    </row>
    <row r="1060" spans="1:1" x14ac:dyDescent="0.25">
      <c r="A1060" s="3">
        <v>42502</v>
      </c>
    </row>
    <row r="1061" spans="1:1" x14ac:dyDescent="0.25">
      <c r="A1061" s="3">
        <v>42503</v>
      </c>
    </row>
    <row r="1062" spans="1:1" x14ac:dyDescent="0.25">
      <c r="A1062" s="3">
        <v>42504</v>
      </c>
    </row>
    <row r="1063" spans="1:1" x14ac:dyDescent="0.25">
      <c r="A1063" s="3">
        <v>42505</v>
      </c>
    </row>
    <row r="1064" spans="1:1" x14ac:dyDescent="0.25">
      <c r="A1064" s="3">
        <v>42506</v>
      </c>
    </row>
    <row r="1065" spans="1:1" x14ac:dyDescent="0.25">
      <c r="A1065" s="3">
        <v>42507</v>
      </c>
    </row>
    <row r="1066" spans="1:1" x14ac:dyDescent="0.25">
      <c r="A1066" s="3">
        <v>42508</v>
      </c>
    </row>
    <row r="1067" spans="1:1" x14ac:dyDescent="0.25">
      <c r="A1067" s="3">
        <v>42509</v>
      </c>
    </row>
    <row r="1068" spans="1:1" x14ac:dyDescent="0.25">
      <c r="A1068" s="3">
        <v>42510</v>
      </c>
    </row>
    <row r="1069" spans="1:1" x14ac:dyDescent="0.25">
      <c r="A1069" s="3">
        <v>42511</v>
      </c>
    </row>
    <row r="1070" spans="1:1" x14ac:dyDescent="0.25">
      <c r="A1070" s="3">
        <v>42512</v>
      </c>
    </row>
    <row r="1071" spans="1:1" x14ac:dyDescent="0.25">
      <c r="A1071" s="3">
        <v>42513</v>
      </c>
    </row>
    <row r="1072" spans="1:1" x14ac:dyDescent="0.25">
      <c r="A1072" s="3">
        <v>42514</v>
      </c>
    </row>
    <row r="1073" spans="1:1" x14ac:dyDescent="0.25">
      <c r="A1073" s="3">
        <v>42515</v>
      </c>
    </row>
    <row r="1074" spans="1:1" x14ac:dyDescent="0.25">
      <c r="A1074" s="3">
        <v>42516</v>
      </c>
    </row>
    <row r="1075" spans="1:1" x14ac:dyDescent="0.25">
      <c r="A1075" s="3">
        <v>42517</v>
      </c>
    </row>
    <row r="1076" spans="1:1" x14ac:dyDescent="0.25">
      <c r="A1076" s="3">
        <v>42518</v>
      </c>
    </row>
    <row r="1077" spans="1:1" x14ac:dyDescent="0.25">
      <c r="A1077" s="3">
        <v>42519</v>
      </c>
    </row>
    <row r="1078" spans="1:1" x14ac:dyDescent="0.25">
      <c r="A1078" s="3">
        <v>42520</v>
      </c>
    </row>
    <row r="1079" spans="1:1" x14ac:dyDescent="0.25">
      <c r="A1079" s="3">
        <v>42521</v>
      </c>
    </row>
    <row r="1080" spans="1:1" x14ac:dyDescent="0.25">
      <c r="A1080" s="3">
        <v>42522</v>
      </c>
    </row>
    <row r="1081" spans="1:1" x14ac:dyDescent="0.25">
      <c r="A1081" s="3">
        <v>42523</v>
      </c>
    </row>
    <row r="1082" spans="1:1" x14ac:dyDescent="0.25">
      <c r="A1082" s="3">
        <v>42524</v>
      </c>
    </row>
    <row r="1083" spans="1:1" x14ac:dyDescent="0.25">
      <c r="A1083" s="3">
        <v>42525</v>
      </c>
    </row>
    <row r="1084" spans="1:1" x14ac:dyDescent="0.25">
      <c r="A1084" s="3">
        <v>42526</v>
      </c>
    </row>
    <row r="1085" spans="1:1" x14ac:dyDescent="0.25">
      <c r="A1085" s="3">
        <v>42527</v>
      </c>
    </row>
    <row r="1086" spans="1:1" x14ac:dyDescent="0.25">
      <c r="A1086" s="3">
        <v>42528</v>
      </c>
    </row>
    <row r="1087" spans="1:1" x14ac:dyDescent="0.25">
      <c r="A1087" s="3">
        <v>42529</v>
      </c>
    </row>
    <row r="1088" spans="1:1" x14ac:dyDescent="0.25">
      <c r="A1088" s="3">
        <v>42530</v>
      </c>
    </row>
    <row r="1089" spans="1:1" x14ac:dyDescent="0.25">
      <c r="A1089" s="3">
        <v>42531</v>
      </c>
    </row>
    <row r="1090" spans="1:1" x14ac:dyDescent="0.25">
      <c r="A1090" s="3">
        <v>42532</v>
      </c>
    </row>
    <row r="1091" spans="1:1" x14ac:dyDescent="0.25">
      <c r="A1091" s="3">
        <v>42533</v>
      </c>
    </row>
    <row r="1092" spans="1:1" x14ac:dyDescent="0.25">
      <c r="A1092" s="3">
        <v>42534</v>
      </c>
    </row>
    <row r="1093" spans="1:1" x14ac:dyDescent="0.25">
      <c r="A1093" s="3">
        <v>42535</v>
      </c>
    </row>
    <row r="1094" spans="1:1" x14ac:dyDescent="0.25">
      <c r="A1094" s="3">
        <v>42536</v>
      </c>
    </row>
    <row r="1095" spans="1:1" x14ac:dyDescent="0.25">
      <c r="A1095" s="3">
        <v>42537</v>
      </c>
    </row>
    <row r="1096" spans="1:1" x14ac:dyDescent="0.25">
      <c r="A1096" s="3">
        <v>42538</v>
      </c>
    </row>
    <row r="1097" spans="1:1" x14ac:dyDescent="0.25">
      <c r="A1097" s="3">
        <v>42539</v>
      </c>
    </row>
    <row r="1098" spans="1:1" x14ac:dyDescent="0.25">
      <c r="A1098" s="3">
        <v>42540</v>
      </c>
    </row>
    <row r="1099" spans="1:1" x14ac:dyDescent="0.25">
      <c r="A1099" s="3">
        <v>42541</v>
      </c>
    </row>
    <row r="1100" spans="1:1" x14ac:dyDescent="0.25">
      <c r="A1100" s="3">
        <v>42542</v>
      </c>
    </row>
    <row r="1101" spans="1:1" x14ac:dyDescent="0.25">
      <c r="A1101" s="3">
        <v>42543</v>
      </c>
    </row>
    <row r="1102" spans="1:1" x14ac:dyDescent="0.25">
      <c r="A1102" s="3">
        <v>42544</v>
      </c>
    </row>
    <row r="1103" spans="1:1" x14ac:dyDescent="0.25">
      <c r="A1103" s="3">
        <v>42545</v>
      </c>
    </row>
    <row r="1104" spans="1:1" x14ac:dyDescent="0.25">
      <c r="A1104" s="3">
        <v>42546</v>
      </c>
    </row>
    <row r="1105" spans="1:1" x14ac:dyDescent="0.25">
      <c r="A1105" s="3">
        <v>42547</v>
      </c>
    </row>
    <row r="1106" spans="1:1" x14ac:dyDescent="0.25">
      <c r="A1106" s="3">
        <v>42548</v>
      </c>
    </row>
    <row r="1107" spans="1:1" x14ac:dyDescent="0.25">
      <c r="A1107" s="3">
        <v>42549</v>
      </c>
    </row>
    <row r="1108" spans="1:1" x14ac:dyDescent="0.25">
      <c r="A1108" s="3">
        <v>42550</v>
      </c>
    </row>
    <row r="1109" spans="1:1" x14ac:dyDescent="0.25">
      <c r="A1109" s="3">
        <v>42551</v>
      </c>
    </row>
    <row r="1110" spans="1:1" x14ac:dyDescent="0.25">
      <c r="A1110" s="3">
        <v>42552</v>
      </c>
    </row>
    <row r="1111" spans="1:1" x14ac:dyDescent="0.25">
      <c r="A1111" s="3">
        <v>42553</v>
      </c>
    </row>
    <row r="1112" spans="1:1" x14ac:dyDescent="0.25">
      <c r="A1112" s="3">
        <v>42554</v>
      </c>
    </row>
    <row r="1113" spans="1:1" x14ac:dyDescent="0.25">
      <c r="A1113" s="3">
        <v>42555</v>
      </c>
    </row>
    <row r="1114" spans="1:1" x14ac:dyDescent="0.25">
      <c r="A1114" s="3">
        <v>42556</v>
      </c>
    </row>
    <row r="1115" spans="1:1" x14ac:dyDescent="0.25">
      <c r="A1115" s="3">
        <v>42557</v>
      </c>
    </row>
    <row r="1116" spans="1:1" x14ac:dyDescent="0.25">
      <c r="A1116" s="3">
        <v>42558</v>
      </c>
    </row>
    <row r="1117" spans="1:1" x14ac:dyDescent="0.25">
      <c r="A1117" s="3">
        <v>42559</v>
      </c>
    </row>
    <row r="1118" spans="1:1" x14ac:dyDescent="0.25">
      <c r="A1118" s="3">
        <v>42560</v>
      </c>
    </row>
    <row r="1119" spans="1:1" x14ac:dyDescent="0.25">
      <c r="A1119" s="3">
        <v>42561</v>
      </c>
    </row>
    <row r="1120" spans="1:1" x14ac:dyDescent="0.25">
      <c r="A1120" s="3">
        <v>42562</v>
      </c>
    </row>
    <row r="1121" spans="1:1" x14ac:dyDescent="0.25">
      <c r="A1121" s="3">
        <v>42563</v>
      </c>
    </row>
    <row r="1122" spans="1:1" x14ac:dyDescent="0.25">
      <c r="A1122" s="3">
        <v>42564</v>
      </c>
    </row>
    <row r="1123" spans="1:1" x14ac:dyDescent="0.25">
      <c r="A1123" s="3">
        <v>42565</v>
      </c>
    </row>
    <row r="1124" spans="1:1" x14ac:dyDescent="0.25">
      <c r="A1124" s="3">
        <v>42566</v>
      </c>
    </row>
    <row r="1125" spans="1:1" x14ac:dyDescent="0.25">
      <c r="A1125" s="3">
        <v>42567</v>
      </c>
    </row>
    <row r="1126" spans="1:1" x14ac:dyDescent="0.25">
      <c r="A1126" s="3">
        <v>42568</v>
      </c>
    </row>
    <row r="1127" spans="1:1" x14ac:dyDescent="0.25">
      <c r="A1127" s="3">
        <v>42569</v>
      </c>
    </row>
    <row r="1128" spans="1:1" x14ac:dyDescent="0.25">
      <c r="A1128" s="3">
        <v>42570</v>
      </c>
    </row>
    <row r="1129" spans="1:1" x14ac:dyDescent="0.25">
      <c r="A1129" s="3">
        <v>42571</v>
      </c>
    </row>
    <row r="1130" spans="1:1" x14ac:dyDescent="0.25">
      <c r="A1130" s="3">
        <v>42572</v>
      </c>
    </row>
    <row r="1131" spans="1:1" x14ac:dyDescent="0.25">
      <c r="A1131" s="3">
        <v>42573</v>
      </c>
    </row>
    <row r="1132" spans="1:1" x14ac:dyDescent="0.25">
      <c r="A1132" s="3">
        <v>42574</v>
      </c>
    </row>
    <row r="1133" spans="1:1" x14ac:dyDescent="0.25">
      <c r="A1133" s="3">
        <v>42575</v>
      </c>
    </row>
    <row r="1134" spans="1:1" x14ac:dyDescent="0.25">
      <c r="A1134" s="3">
        <v>42576</v>
      </c>
    </row>
    <row r="1135" spans="1:1" x14ac:dyDescent="0.25">
      <c r="A1135" s="3">
        <v>42577</v>
      </c>
    </row>
    <row r="1136" spans="1:1" x14ac:dyDescent="0.25">
      <c r="A1136" s="3">
        <v>42578</v>
      </c>
    </row>
    <row r="1137" spans="1:1" x14ac:dyDescent="0.25">
      <c r="A1137" s="3">
        <v>42579</v>
      </c>
    </row>
    <row r="1138" spans="1:1" x14ac:dyDescent="0.25">
      <c r="A1138" s="3">
        <v>42580</v>
      </c>
    </row>
    <row r="1139" spans="1:1" x14ac:dyDescent="0.25">
      <c r="A1139" s="3">
        <v>42581</v>
      </c>
    </row>
    <row r="1140" spans="1:1" x14ac:dyDescent="0.25">
      <c r="A1140" s="3">
        <v>42582</v>
      </c>
    </row>
    <row r="1141" spans="1:1" x14ac:dyDescent="0.25">
      <c r="A1141" s="3">
        <v>42583</v>
      </c>
    </row>
    <row r="1142" spans="1:1" x14ac:dyDescent="0.25">
      <c r="A1142" s="3">
        <v>42584</v>
      </c>
    </row>
    <row r="1143" spans="1:1" x14ac:dyDescent="0.25">
      <c r="A1143" s="3">
        <v>42585</v>
      </c>
    </row>
    <row r="1144" spans="1:1" x14ac:dyDescent="0.25">
      <c r="A1144" s="3">
        <v>42586</v>
      </c>
    </row>
    <row r="1145" spans="1:1" x14ac:dyDescent="0.25">
      <c r="A1145" s="3">
        <v>42587</v>
      </c>
    </row>
    <row r="1146" spans="1:1" x14ac:dyDescent="0.25">
      <c r="A1146" s="3">
        <v>42588</v>
      </c>
    </row>
    <row r="1147" spans="1:1" x14ac:dyDescent="0.25">
      <c r="A1147" s="3">
        <v>42589</v>
      </c>
    </row>
    <row r="1148" spans="1:1" x14ac:dyDescent="0.25">
      <c r="A1148" s="3">
        <v>42590</v>
      </c>
    </row>
    <row r="1149" spans="1:1" x14ac:dyDescent="0.25">
      <c r="A1149" s="3">
        <v>42591</v>
      </c>
    </row>
    <row r="1150" spans="1:1" x14ac:dyDescent="0.25">
      <c r="A1150" s="3">
        <v>42592</v>
      </c>
    </row>
    <row r="1151" spans="1:1" x14ac:dyDescent="0.25">
      <c r="A1151" s="3">
        <v>42593</v>
      </c>
    </row>
    <row r="1152" spans="1:1" x14ac:dyDescent="0.25">
      <c r="A1152" s="3">
        <v>42594</v>
      </c>
    </row>
    <row r="1153" spans="1:1" x14ac:dyDescent="0.25">
      <c r="A1153" s="3">
        <v>42595</v>
      </c>
    </row>
    <row r="1154" spans="1:1" x14ac:dyDescent="0.25">
      <c r="A1154" s="3">
        <v>42596</v>
      </c>
    </row>
    <row r="1155" spans="1:1" x14ac:dyDescent="0.25">
      <c r="A1155" s="3">
        <v>42597</v>
      </c>
    </row>
    <row r="1156" spans="1:1" x14ac:dyDescent="0.25">
      <c r="A1156" s="3">
        <v>42598</v>
      </c>
    </row>
    <row r="1157" spans="1:1" x14ac:dyDescent="0.25">
      <c r="A1157" s="3">
        <v>42599</v>
      </c>
    </row>
    <row r="1158" spans="1:1" x14ac:dyDescent="0.25">
      <c r="A1158" s="3">
        <v>42600</v>
      </c>
    </row>
    <row r="1159" spans="1:1" x14ac:dyDescent="0.25">
      <c r="A1159" s="3">
        <v>42601</v>
      </c>
    </row>
    <row r="1160" spans="1:1" x14ac:dyDescent="0.25">
      <c r="A1160" s="3">
        <v>42602</v>
      </c>
    </row>
    <row r="1161" spans="1:1" x14ac:dyDescent="0.25">
      <c r="A1161" s="3">
        <v>42603</v>
      </c>
    </row>
    <row r="1162" spans="1:1" x14ac:dyDescent="0.25">
      <c r="A1162" s="3">
        <v>42604</v>
      </c>
    </row>
    <row r="1163" spans="1:1" x14ac:dyDescent="0.25">
      <c r="A1163" s="3">
        <v>42605</v>
      </c>
    </row>
    <row r="1164" spans="1:1" x14ac:dyDescent="0.25">
      <c r="A1164" s="3">
        <v>42606</v>
      </c>
    </row>
    <row r="1165" spans="1:1" x14ac:dyDescent="0.25">
      <c r="A1165" s="3">
        <v>42607</v>
      </c>
    </row>
    <row r="1166" spans="1:1" x14ac:dyDescent="0.25">
      <c r="A1166" s="3">
        <v>42608</v>
      </c>
    </row>
    <row r="1167" spans="1:1" x14ac:dyDescent="0.25">
      <c r="A1167" s="3">
        <v>42609</v>
      </c>
    </row>
    <row r="1168" spans="1:1" x14ac:dyDescent="0.25">
      <c r="A1168" s="3">
        <v>42610</v>
      </c>
    </row>
    <row r="1169" spans="1:1" x14ac:dyDescent="0.25">
      <c r="A1169" s="3">
        <v>42611</v>
      </c>
    </row>
    <row r="1170" spans="1:1" x14ac:dyDescent="0.25">
      <c r="A1170" s="3">
        <v>42612</v>
      </c>
    </row>
    <row r="1171" spans="1:1" x14ac:dyDescent="0.25">
      <c r="A1171" s="3">
        <v>42613</v>
      </c>
    </row>
    <row r="1172" spans="1:1" x14ac:dyDescent="0.25">
      <c r="A1172" s="3">
        <v>42614</v>
      </c>
    </row>
    <row r="1173" spans="1:1" x14ac:dyDescent="0.25">
      <c r="A1173" s="3">
        <v>42615</v>
      </c>
    </row>
    <row r="1174" spans="1:1" x14ac:dyDescent="0.25">
      <c r="A1174" s="3">
        <v>42616</v>
      </c>
    </row>
    <row r="1175" spans="1:1" x14ac:dyDescent="0.25">
      <c r="A1175" s="3">
        <v>42617</v>
      </c>
    </row>
    <row r="1176" spans="1:1" x14ac:dyDescent="0.25">
      <c r="A1176" s="3">
        <v>42618</v>
      </c>
    </row>
    <row r="1177" spans="1:1" x14ac:dyDescent="0.25">
      <c r="A1177" s="3">
        <v>42619</v>
      </c>
    </row>
    <row r="1178" spans="1:1" x14ac:dyDescent="0.25">
      <c r="A1178" s="3">
        <v>42620</v>
      </c>
    </row>
    <row r="1179" spans="1:1" x14ac:dyDescent="0.25">
      <c r="A1179" s="3">
        <v>42621</v>
      </c>
    </row>
    <row r="1180" spans="1:1" x14ac:dyDescent="0.25">
      <c r="A1180" s="3">
        <v>42622</v>
      </c>
    </row>
    <row r="1181" spans="1:1" x14ac:dyDescent="0.25">
      <c r="A1181" s="3">
        <v>42623</v>
      </c>
    </row>
    <row r="1182" spans="1:1" x14ac:dyDescent="0.25">
      <c r="A1182" s="3">
        <v>42624</v>
      </c>
    </row>
    <row r="1183" spans="1:1" x14ac:dyDescent="0.25">
      <c r="A1183" s="3">
        <v>42625</v>
      </c>
    </row>
    <row r="1184" spans="1:1" x14ac:dyDescent="0.25">
      <c r="A1184" s="3">
        <v>42626</v>
      </c>
    </row>
    <row r="1185" spans="1:1" x14ac:dyDescent="0.25">
      <c r="A1185" s="3">
        <v>42627</v>
      </c>
    </row>
    <row r="1186" spans="1:1" x14ac:dyDescent="0.25">
      <c r="A1186" s="3">
        <v>42628</v>
      </c>
    </row>
    <row r="1187" spans="1:1" x14ac:dyDescent="0.25">
      <c r="A1187" s="3">
        <v>42629</v>
      </c>
    </row>
    <row r="1188" spans="1:1" x14ac:dyDescent="0.25">
      <c r="A1188" s="3">
        <v>42630</v>
      </c>
    </row>
    <row r="1189" spans="1:1" x14ac:dyDescent="0.25">
      <c r="A1189" s="3">
        <v>42631</v>
      </c>
    </row>
    <row r="1190" spans="1:1" x14ac:dyDescent="0.25">
      <c r="A1190" s="3">
        <v>42632</v>
      </c>
    </row>
    <row r="1191" spans="1:1" x14ac:dyDescent="0.25">
      <c r="A1191" s="3">
        <v>42633</v>
      </c>
    </row>
    <row r="1192" spans="1:1" x14ac:dyDescent="0.25">
      <c r="A1192" s="3">
        <v>42634</v>
      </c>
    </row>
    <row r="1193" spans="1:1" x14ac:dyDescent="0.25">
      <c r="A1193" s="3">
        <v>42635</v>
      </c>
    </row>
    <row r="1194" spans="1:1" x14ac:dyDescent="0.25">
      <c r="A1194" s="3">
        <v>42636</v>
      </c>
    </row>
    <row r="1195" spans="1:1" x14ac:dyDescent="0.25">
      <c r="A1195" s="3">
        <v>42637</v>
      </c>
    </row>
    <row r="1196" spans="1:1" x14ac:dyDescent="0.25">
      <c r="A1196" s="3">
        <v>42638</v>
      </c>
    </row>
    <row r="1197" spans="1:1" x14ac:dyDescent="0.25">
      <c r="A1197" s="3">
        <v>42639</v>
      </c>
    </row>
    <row r="1198" spans="1:1" x14ac:dyDescent="0.25">
      <c r="A1198" s="3">
        <v>42640</v>
      </c>
    </row>
    <row r="1199" spans="1:1" x14ac:dyDescent="0.25">
      <c r="A1199" s="3">
        <v>42641</v>
      </c>
    </row>
    <row r="1200" spans="1:1" x14ac:dyDescent="0.25">
      <c r="A1200" s="3">
        <v>42642</v>
      </c>
    </row>
    <row r="1201" spans="1:1" x14ac:dyDescent="0.25">
      <c r="A1201" s="3">
        <v>42643</v>
      </c>
    </row>
    <row r="1202" spans="1:1" x14ac:dyDescent="0.25">
      <c r="A1202" s="3">
        <v>42644</v>
      </c>
    </row>
    <row r="1203" spans="1:1" x14ac:dyDescent="0.25">
      <c r="A1203" s="3">
        <v>42645</v>
      </c>
    </row>
    <row r="1204" spans="1:1" x14ac:dyDescent="0.25">
      <c r="A1204" s="3">
        <v>42646</v>
      </c>
    </row>
    <row r="1205" spans="1:1" x14ac:dyDescent="0.25">
      <c r="A1205" s="3">
        <v>42647</v>
      </c>
    </row>
    <row r="1206" spans="1:1" x14ac:dyDescent="0.25">
      <c r="A1206" s="3">
        <v>42648</v>
      </c>
    </row>
    <row r="1207" spans="1:1" x14ac:dyDescent="0.25">
      <c r="A1207" s="3">
        <v>42649</v>
      </c>
    </row>
    <row r="1208" spans="1:1" x14ac:dyDescent="0.25">
      <c r="A1208" s="3">
        <v>42650</v>
      </c>
    </row>
    <row r="1209" spans="1:1" x14ac:dyDescent="0.25">
      <c r="A1209" s="3">
        <v>42651</v>
      </c>
    </row>
    <row r="1210" spans="1:1" x14ac:dyDescent="0.25">
      <c r="A1210" s="3">
        <v>42652</v>
      </c>
    </row>
    <row r="1211" spans="1:1" x14ac:dyDescent="0.25">
      <c r="A1211" s="3">
        <v>42653</v>
      </c>
    </row>
    <row r="1212" spans="1:1" x14ac:dyDescent="0.25">
      <c r="A1212" s="3">
        <v>42654</v>
      </c>
    </row>
    <row r="1213" spans="1:1" x14ac:dyDescent="0.25">
      <c r="A1213" s="3">
        <v>42655</v>
      </c>
    </row>
    <row r="1214" spans="1:1" x14ac:dyDescent="0.25">
      <c r="A1214" s="3">
        <v>42656</v>
      </c>
    </row>
    <row r="1215" spans="1:1" x14ac:dyDescent="0.25">
      <c r="A1215" s="3">
        <v>42657</v>
      </c>
    </row>
    <row r="1216" spans="1:1" x14ac:dyDescent="0.25">
      <c r="A1216" s="3">
        <v>42658</v>
      </c>
    </row>
    <row r="1217" spans="1:1" x14ac:dyDescent="0.25">
      <c r="A1217" s="3">
        <v>42659</v>
      </c>
    </row>
    <row r="1218" spans="1:1" x14ac:dyDescent="0.25">
      <c r="A1218" s="3">
        <v>42660</v>
      </c>
    </row>
    <row r="1219" spans="1:1" x14ac:dyDescent="0.25">
      <c r="A1219" s="3">
        <v>42661</v>
      </c>
    </row>
    <row r="1220" spans="1:1" x14ac:dyDescent="0.25">
      <c r="A1220" s="3">
        <v>42662</v>
      </c>
    </row>
    <row r="1221" spans="1:1" x14ac:dyDescent="0.25">
      <c r="A1221" s="3">
        <v>42663</v>
      </c>
    </row>
    <row r="1222" spans="1:1" x14ac:dyDescent="0.25">
      <c r="A1222" s="3">
        <v>42664</v>
      </c>
    </row>
    <row r="1223" spans="1:1" x14ac:dyDescent="0.25">
      <c r="A1223" s="3">
        <v>42665</v>
      </c>
    </row>
    <row r="1224" spans="1:1" x14ac:dyDescent="0.25">
      <c r="A1224" s="3">
        <v>42666</v>
      </c>
    </row>
    <row r="1225" spans="1:1" x14ac:dyDescent="0.25">
      <c r="A1225" s="3">
        <v>42667</v>
      </c>
    </row>
    <row r="1226" spans="1:1" x14ac:dyDescent="0.25">
      <c r="A1226" s="3">
        <v>42668</v>
      </c>
    </row>
    <row r="1227" spans="1:1" x14ac:dyDescent="0.25">
      <c r="A1227" s="3">
        <v>42669</v>
      </c>
    </row>
    <row r="1228" spans="1:1" x14ac:dyDescent="0.25">
      <c r="A1228" s="3">
        <v>42670</v>
      </c>
    </row>
    <row r="1229" spans="1:1" x14ac:dyDescent="0.25">
      <c r="A1229" s="3">
        <v>42671</v>
      </c>
    </row>
    <row r="1230" spans="1:1" x14ac:dyDescent="0.25">
      <c r="A1230" s="3">
        <v>42672</v>
      </c>
    </row>
    <row r="1231" spans="1:1" x14ac:dyDescent="0.25">
      <c r="A1231" s="3">
        <v>42673</v>
      </c>
    </row>
    <row r="1232" spans="1:1" x14ac:dyDescent="0.25">
      <c r="A1232" s="3">
        <v>42674</v>
      </c>
    </row>
    <row r="1233" spans="1:1" x14ac:dyDescent="0.25">
      <c r="A1233" s="3">
        <v>42675</v>
      </c>
    </row>
    <row r="1234" spans="1:1" x14ac:dyDescent="0.25">
      <c r="A1234" s="3">
        <v>42676</v>
      </c>
    </row>
    <row r="1235" spans="1:1" x14ac:dyDescent="0.25">
      <c r="A1235" s="3">
        <v>42677</v>
      </c>
    </row>
    <row r="1236" spans="1:1" x14ac:dyDescent="0.25">
      <c r="A1236" s="3">
        <v>42678</v>
      </c>
    </row>
    <row r="1237" spans="1:1" x14ac:dyDescent="0.25">
      <c r="A1237" s="3">
        <v>42679</v>
      </c>
    </row>
    <row r="1238" spans="1:1" x14ac:dyDescent="0.25">
      <c r="A1238" s="3">
        <v>42680</v>
      </c>
    </row>
    <row r="1239" spans="1:1" x14ac:dyDescent="0.25">
      <c r="A1239" s="3">
        <v>42681</v>
      </c>
    </row>
    <row r="1240" spans="1:1" x14ac:dyDescent="0.25">
      <c r="A1240" s="3">
        <v>42682</v>
      </c>
    </row>
    <row r="1241" spans="1:1" x14ac:dyDescent="0.25">
      <c r="A1241" s="3">
        <v>42683</v>
      </c>
    </row>
    <row r="1242" spans="1:1" x14ac:dyDescent="0.25">
      <c r="A1242" s="3">
        <v>42684</v>
      </c>
    </row>
    <row r="1243" spans="1:1" x14ac:dyDescent="0.25">
      <c r="A1243" s="3">
        <v>42685</v>
      </c>
    </row>
    <row r="1244" spans="1:1" x14ac:dyDescent="0.25">
      <c r="A1244" s="3">
        <v>42686</v>
      </c>
    </row>
    <row r="1245" spans="1:1" x14ac:dyDescent="0.25">
      <c r="A1245" s="3">
        <v>42687</v>
      </c>
    </row>
    <row r="1246" spans="1:1" x14ac:dyDescent="0.25">
      <c r="A1246" s="3">
        <v>42688</v>
      </c>
    </row>
    <row r="1247" spans="1:1" x14ac:dyDescent="0.25">
      <c r="A1247" s="3">
        <v>42689</v>
      </c>
    </row>
    <row r="1248" spans="1:1" x14ac:dyDescent="0.25">
      <c r="A1248" s="3">
        <v>42690</v>
      </c>
    </row>
    <row r="1249" spans="1:1" x14ac:dyDescent="0.25">
      <c r="A1249" s="3">
        <v>42691</v>
      </c>
    </row>
    <row r="1250" spans="1:1" x14ac:dyDescent="0.25">
      <c r="A1250" s="3">
        <v>42692</v>
      </c>
    </row>
    <row r="1251" spans="1:1" x14ac:dyDescent="0.25">
      <c r="A1251" s="3">
        <v>42693</v>
      </c>
    </row>
    <row r="1252" spans="1:1" x14ac:dyDescent="0.25">
      <c r="A1252" s="3">
        <v>42694</v>
      </c>
    </row>
    <row r="1253" spans="1:1" x14ac:dyDescent="0.25">
      <c r="A1253" s="3">
        <v>42695</v>
      </c>
    </row>
    <row r="1254" spans="1:1" x14ac:dyDescent="0.25">
      <c r="A1254" s="3">
        <v>42696</v>
      </c>
    </row>
    <row r="1255" spans="1:1" x14ac:dyDescent="0.25">
      <c r="A1255" s="3">
        <v>42697</v>
      </c>
    </row>
    <row r="1256" spans="1:1" x14ac:dyDescent="0.25">
      <c r="A1256" s="3">
        <v>42698</v>
      </c>
    </row>
    <row r="1257" spans="1:1" x14ac:dyDescent="0.25">
      <c r="A1257" s="3">
        <v>42699</v>
      </c>
    </row>
    <row r="1258" spans="1:1" x14ac:dyDescent="0.25">
      <c r="A1258" s="3">
        <v>42700</v>
      </c>
    </row>
    <row r="1259" spans="1:1" x14ac:dyDescent="0.25">
      <c r="A1259" s="3">
        <v>42701</v>
      </c>
    </row>
    <row r="1260" spans="1:1" x14ac:dyDescent="0.25">
      <c r="A1260" s="3">
        <v>42702</v>
      </c>
    </row>
    <row r="1261" spans="1:1" x14ac:dyDescent="0.25">
      <c r="A1261" s="3">
        <v>42703</v>
      </c>
    </row>
    <row r="1262" spans="1:1" x14ac:dyDescent="0.25">
      <c r="A1262" s="3">
        <v>42704</v>
      </c>
    </row>
    <row r="1263" spans="1:1" x14ac:dyDescent="0.25">
      <c r="A1263" s="3">
        <v>42705</v>
      </c>
    </row>
    <row r="1264" spans="1:1" x14ac:dyDescent="0.25">
      <c r="A1264" s="3">
        <v>42706</v>
      </c>
    </row>
    <row r="1265" spans="1:1" x14ac:dyDescent="0.25">
      <c r="A1265" s="3">
        <v>42707</v>
      </c>
    </row>
    <row r="1266" spans="1:1" x14ac:dyDescent="0.25">
      <c r="A1266" s="3">
        <v>42708</v>
      </c>
    </row>
    <row r="1267" spans="1:1" x14ac:dyDescent="0.25">
      <c r="A1267" s="3">
        <v>42709</v>
      </c>
    </row>
    <row r="1268" spans="1:1" x14ac:dyDescent="0.25">
      <c r="A1268" s="3">
        <v>42710</v>
      </c>
    </row>
    <row r="1269" spans="1:1" x14ac:dyDescent="0.25">
      <c r="A1269" s="3">
        <v>42711</v>
      </c>
    </row>
    <row r="1270" spans="1:1" x14ac:dyDescent="0.25">
      <c r="A1270" s="3">
        <v>42712</v>
      </c>
    </row>
    <row r="1271" spans="1:1" x14ac:dyDescent="0.25">
      <c r="A1271" s="3">
        <v>42713</v>
      </c>
    </row>
    <row r="1272" spans="1:1" x14ac:dyDescent="0.25">
      <c r="A1272" s="3">
        <v>42714</v>
      </c>
    </row>
    <row r="1273" spans="1:1" x14ac:dyDescent="0.25">
      <c r="A1273" s="3">
        <v>42715</v>
      </c>
    </row>
    <row r="1274" spans="1:1" x14ac:dyDescent="0.25">
      <c r="A1274" s="3">
        <v>42716</v>
      </c>
    </row>
    <row r="1275" spans="1:1" x14ac:dyDescent="0.25">
      <c r="A1275" s="3">
        <v>42717</v>
      </c>
    </row>
    <row r="1276" spans="1:1" x14ac:dyDescent="0.25">
      <c r="A1276" s="3">
        <v>42718</v>
      </c>
    </row>
    <row r="1277" spans="1:1" x14ac:dyDescent="0.25">
      <c r="A1277" s="3">
        <v>42719</v>
      </c>
    </row>
    <row r="1278" spans="1:1" x14ac:dyDescent="0.25">
      <c r="A1278" s="3">
        <v>42720</v>
      </c>
    </row>
    <row r="1279" spans="1:1" x14ac:dyDescent="0.25">
      <c r="A1279" s="3">
        <v>42721</v>
      </c>
    </row>
    <row r="1280" spans="1:1" x14ac:dyDescent="0.25">
      <c r="A1280" s="3">
        <v>42722</v>
      </c>
    </row>
    <row r="1281" spans="1:1" x14ac:dyDescent="0.25">
      <c r="A1281" s="3">
        <v>42723</v>
      </c>
    </row>
    <row r="1282" spans="1:1" x14ac:dyDescent="0.25">
      <c r="A1282" s="3">
        <v>42724</v>
      </c>
    </row>
    <row r="1283" spans="1:1" x14ac:dyDescent="0.25">
      <c r="A1283" s="3">
        <v>42725</v>
      </c>
    </row>
    <row r="1284" spans="1:1" x14ac:dyDescent="0.25">
      <c r="A1284" s="3">
        <v>42726</v>
      </c>
    </row>
    <row r="1285" spans="1:1" x14ac:dyDescent="0.25">
      <c r="A1285" s="3">
        <v>42727</v>
      </c>
    </row>
    <row r="1286" spans="1:1" x14ac:dyDescent="0.25">
      <c r="A1286" s="3">
        <v>42728</v>
      </c>
    </row>
    <row r="1287" spans="1:1" x14ac:dyDescent="0.25">
      <c r="A1287" s="3">
        <v>42729</v>
      </c>
    </row>
    <row r="1288" spans="1:1" x14ac:dyDescent="0.25">
      <c r="A1288" s="3">
        <v>42730</v>
      </c>
    </row>
    <row r="1289" spans="1:1" x14ac:dyDescent="0.25">
      <c r="A1289" s="3">
        <v>42731</v>
      </c>
    </row>
    <row r="1290" spans="1:1" x14ac:dyDescent="0.25">
      <c r="A1290" s="3">
        <v>42732</v>
      </c>
    </row>
    <row r="1291" spans="1:1" x14ac:dyDescent="0.25">
      <c r="A1291" s="3">
        <v>42733</v>
      </c>
    </row>
    <row r="1292" spans="1:1" x14ac:dyDescent="0.25">
      <c r="A1292" s="3">
        <v>42734</v>
      </c>
    </row>
    <row r="1293" spans="1:1" x14ac:dyDescent="0.25">
      <c r="A1293" s="3">
        <v>42735</v>
      </c>
    </row>
    <row r="1294" spans="1:1" x14ac:dyDescent="0.25">
      <c r="A1294" s="3">
        <v>42736</v>
      </c>
    </row>
    <row r="1295" spans="1:1" x14ac:dyDescent="0.25">
      <c r="A1295" s="3">
        <v>42737</v>
      </c>
    </row>
    <row r="1296" spans="1:1" x14ac:dyDescent="0.25">
      <c r="A1296" s="3">
        <v>42738</v>
      </c>
    </row>
    <row r="1297" spans="1:1" x14ac:dyDescent="0.25">
      <c r="A1297" s="3">
        <v>42739</v>
      </c>
    </row>
    <row r="1298" spans="1:1" x14ac:dyDescent="0.25">
      <c r="A1298" s="3">
        <v>42740</v>
      </c>
    </row>
    <row r="1299" spans="1:1" x14ac:dyDescent="0.25">
      <c r="A1299" s="3">
        <v>42741</v>
      </c>
    </row>
    <row r="1300" spans="1:1" x14ac:dyDescent="0.25">
      <c r="A1300" s="3">
        <v>42742</v>
      </c>
    </row>
    <row r="1301" spans="1:1" x14ac:dyDescent="0.25">
      <c r="A1301" s="3">
        <v>42743</v>
      </c>
    </row>
    <row r="1302" spans="1:1" x14ac:dyDescent="0.25">
      <c r="A1302" s="3">
        <v>42744</v>
      </c>
    </row>
    <row r="1303" spans="1:1" x14ac:dyDescent="0.25">
      <c r="A1303" s="3">
        <v>42745</v>
      </c>
    </row>
    <row r="1304" spans="1:1" x14ac:dyDescent="0.25">
      <c r="A1304" s="3">
        <v>42746</v>
      </c>
    </row>
    <row r="1305" spans="1:1" x14ac:dyDescent="0.25">
      <c r="A1305" s="3">
        <v>42747</v>
      </c>
    </row>
    <row r="1306" spans="1:1" x14ac:dyDescent="0.25">
      <c r="A1306" s="3">
        <v>42748</v>
      </c>
    </row>
    <row r="1307" spans="1:1" x14ac:dyDescent="0.25">
      <c r="A1307" s="3">
        <v>42749</v>
      </c>
    </row>
    <row r="1308" spans="1:1" x14ac:dyDescent="0.25">
      <c r="A1308" s="3">
        <v>42750</v>
      </c>
    </row>
    <row r="1309" spans="1:1" x14ac:dyDescent="0.25">
      <c r="A1309" s="3">
        <v>42751</v>
      </c>
    </row>
    <row r="1310" spans="1:1" x14ac:dyDescent="0.25">
      <c r="A1310" s="3">
        <v>42752</v>
      </c>
    </row>
    <row r="1311" spans="1:1" x14ac:dyDescent="0.25">
      <c r="A1311" s="3">
        <v>42753</v>
      </c>
    </row>
    <row r="1312" spans="1:1" x14ac:dyDescent="0.25">
      <c r="A1312" s="3">
        <v>42754</v>
      </c>
    </row>
    <row r="1313" spans="1:1" x14ac:dyDescent="0.25">
      <c r="A1313" s="3">
        <v>42755</v>
      </c>
    </row>
    <row r="1314" spans="1:1" x14ac:dyDescent="0.25">
      <c r="A1314" s="3">
        <v>42756</v>
      </c>
    </row>
    <row r="1315" spans="1:1" x14ac:dyDescent="0.25">
      <c r="A1315" s="3">
        <v>42757</v>
      </c>
    </row>
    <row r="1316" spans="1:1" x14ac:dyDescent="0.25">
      <c r="A1316" s="3">
        <v>42758</v>
      </c>
    </row>
    <row r="1317" spans="1:1" x14ac:dyDescent="0.25">
      <c r="A1317" s="3">
        <v>42759</v>
      </c>
    </row>
    <row r="1318" spans="1:1" x14ac:dyDescent="0.25">
      <c r="A1318" s="3">
        <v>42760</v>
      </c>
    </row>
    <row r="1319" spans="1:1" x14ac:dyDescent="0.25">
      <c r="A1319" s="3">
        <v>42761</v>
      </c>
    </row>
    <row r="1320" spans="1:1" x14ac:dyDescent="0.25">
      <c r="A1320" s="3">
        <v>42762</v>
      </c>
    </row>
    <row r="1321" spans="1:1" x14ac:dyDescent="0.25">
      <c r="A1321" s="3">
        <v>42763</v>
      </c>
    </row>
    <row r="1322" spans="1:1" x14ac:dyDescent="0.25">
      <c r="A1322" s="3">
        <v>42764</v>
      </c>
    </row>
    <row r="1323" spans="1:1" x14ac:dyDescent="0.25">
      <c r="A1323" s="3">
        <v>42765</v>
      </c>
    </row>
    <row r="1324" spans="1:1" x14ac:dyDescent="0.25">
      <c r="A1324" s="3">
        <v>42766</v>
      </c>
    </row>
    <row r="1325" spans="1:1" x14ac:dyDescent="0.25">
      <c r="A1325" s="3">
        <v>42767</v>
      </c>
    </row>
    <row r="1326" spans="1:1" x14ac:dyDescent="0.25">
      <c r="A1326" s="3">
        <v>42768</v>
      </c>
    </row>
    <row r="1327" spans="1:1" x14ac:dyDescent="0.25">
      <c r="A1327" s="3">
        <v>42769</v>
      </c>
    </row>
    <row r="1328" spans="1:1" x14ac:dyDescent="0.25">
      <c r="A1328" s="3">
        <v>42770</v>
      </c>
    </row>
    <row r="1329" spans="1:1" x14ac:dyDescent="0.25">
      <c r="A1329" s="3">
        <v>42771</v>
      </c>
    </row>
    <row r="1330" spans="1:1" x14ac:dyDescent="0.25">
      <c r="A1330" s="3">
        <v>42772</v>
      </c>
    </row>
    <row r="1331" spans="1:1" x14ac:dyDescent="0.25">
      <c r="A1331" s="3">
        <v>42773</v>
      </c>
    </row>
    <row r="1332" spans="1:1" x14ac:dyDescent="0.25">
      <c r="A1332" s="3">
        <v>42774</v>
      </c>
    </row>
    <row r="1333" spans="1:1" x14ac:dyDescent="0.25">
      <c r="A1333" s="3">
        <v>42775</v>
      </c>
    </row>
    <row r="1334" spans="1:1" x14ac:dyDescent="0.25">
      <c r="A1334" s="3">
        <v>42776</v>
      </c>
    </row>
    <row r="1335" spans="1:1" x14ac:dyDescent="0.25">
      <c r="A1335" s="3">
        <v>42777</v>
      </c>
    </row>
    <row r="1336" spans="1:1" x14ac:dyDescent="0.25">
      <c r="A1336" s="3">
        <v>42778</v>
      </c>
    </row>
    <row r="1337" spans="1:1" x14ac:dyDescent="0.25">
      <c r="A1337" s="3">
        <v>42779</v>
      </c>
    </row>
    <row r="1338" spans="1:1" x14ac:dyDescent="0.25">
      <c r="A1338" s="3">
        <v>42780</v>
      </c>
    </row>
    <row r="1339" spans="1:1" x14ac:dyDescent="0.25">
      <c r="A1339" s="3">
        <v>42781</v>
      </c>
    </row>
    <row r="1340" spans="1:1" x14ac:dyDescent="0.25">
      <c r="A1340" s="3">
        <v>42782</v>
      </c>
    </row>
    <row r="1341" spans="1:1" x14ac:dyDescent="0.25">
      <c r="A1341" s="3">
        <v>42783</v>
      </c>
    </row>
    <row r="1342" spans="1:1" x14ac:dyDescent="0.25">
      <c r="A1342" s="3">
        <v>42784</v>
      </c>
    </row>
    <row r="1343" spans="1:1" x14ac:dyDescent="0.25">
      <c r="A1343" s="3">
        <v>42785</v>
      </c>
    </row>
    <row r="1344" spans="1:1" x14ac:dyDescent="0.25">
      <c r="A1344" s="3">
        <v>42786</v>
      </c>
    </row>
    <row r="1345" spans="1:1" x14ac:dyDescent="0.25">
      <c r="A1345" s="3">
        <v>42787</v>
      </c>
    </row>
    <row r="1346" spans="1:1" x14ac:dyDescent="0.25">
      <c r="A1346" s="3">
        <v>42788</v>
      </c>
    </row>
    <row r="1347" spans="1:1" x14ac:dyDescent="0.25">
      <c r="A1347" s="3">
        <v>42789</v>
      </c>
    </row>
    <row r="1348" spans="1:1" x14ac:dyDescent="0.25">
      <c r="A1348" s="3">
        <v>42790</v>
      </c>
    </row>
    <row r="1349" spans="1:1" x14ac:dyDescent="0.25">
      <c r="A1349" s="3">
        <v>42791</v>
      </c>
    </row>
    <row r="1350" spans="1:1" x14ac:dyDescent="0.25">
      <c r="A1350" s="3">
        <v>42792</v>
      </c>
    </row>
    <row r="1351" spans="1:1" x14ac:dyDescent="0.25">
      <c r="A1351" s="3">
        <v>42793</v>
      </c>
    </row>
    <row r="1352" spans="1:1" x14ac:dyDescent="0.25">
      <c r="A1352" s="3">
        <v>42794</v>
      </c>
    </row>
    <row r="1353" spans="1:1" x14ac:dyDescent="0.25">
      <c r="A1353" s="3">
        <v>42795</v>
      </c>
    </row>
    <row r="1354" spans="1:1" x14ac:dyDescent="0.25">
      <c r="A1354" s="3">
        <v>42796</v>
      </c>
    </row>
    <row r="1355" spans="1:1" x14ac:dyDescent="0.25">
      <c r="A1355" s="3">
        <v>42797</v>
      </c>
    </row>
    <row r="1356" spans="1:1" x14ac:dyDescent="0.25">
      <c r="A1356" s="3">
        <v>42798</v>
      </c>
    </row>
    <row r="1357" spans="1:1" x14ac:dyDescent="0.25">
      <c r="A1357" s="3">
        <v>42799</v>
      </c>
    </row>
    <row r="1358" spans="1:1" x14ac:dyDescent="0.25">
      <c r="A1358" s="3">
        <v>42800</v>
      </c>
    </row>
    <row r="1359" spans="1:1" x14ac:dyDescent="0.25">
      <c r="A1359" s="3">
        <v>42801</v>
      </c>
    </row>
    <row r="1360" spans="1:1" x14ac:dyDescent="0.25">
      <c r="A1360" s="3">
        <v>42802</v>
      </c>
    </row>
    <row r="1361" spans="1:1" x14ac:dyDescent="0.25">
      <c r="A1361" s="3">
        <v>42803</v>
      </c>
    </row>
    <row r="1362" spans="1:1" x14ac:dyDescent="0.25">
      <c r="A1362" s="3">
        <v>42804</v>
      </c>
    </row>
    <row r="1363" spans="1:1" x14ac:dyDescent="0.25">
      <c r="A1363" s="3">
        <v>42805</v>
      </c>
    </row>
    <row r="1364" spans="1:1" x14ac:dyDescent="0.25">
      <c r="A1364" s="3">
        <v>42806</v>
      </c>
    </row>
    <row r="1365" spans="1:1" x14ac:dyDescent="0.25">
      <c r="A1365" s="3">
        <v>42807</v>
      </c>
    </row>
    <row r="1366" spans="1:1" x14ac:dyDescent="0.25">
      <c r="A1366" s="3">
        <v>42808</v>
      </c>
    </row>
    <row r="1367" spans="1:1" x14ac:dyDescent="0.25">
      <c r="A1367" s="3">
        <v>42809</v>
      </c>
    </row>
    <row r="1368" spans="1:1" x14ac:dyDescent="0.25">
      <c r="A1368" s="3">
        <v>42810</v>
      </c>
    </row>
    <row r="1369" spans="1:1" x14ac:dyDescent="0.25">
      <c r="A1369" s="3">
        <v>42811</v>
      </c>
    </row>
    <row r="1370" spans="1:1" x14ac:dyDescent="0.25">
      <c r="A1370" s="3">
        <v>42812</v>
      </c>
    </row>
    <row r="1371" spans="1:1" x14ac:dyDescent="0.25">
      <c r="A1371" s="3">
        <v>42813</v>
      </c>
    </row>
    <row r="1372" spans="1:1" x14ac:dyDescent="0.25">
      <c r="A1372" s="3">
        <v>42814</v>
      </c>
    </row>
    <row r="1373" spans="1:1" x14ac:dyDescent="0.25">
      <c r="A1373" s="3">
        <v>42815</v>
      </c>
    </row>
    <row r="1374" spans="1:1" x14ac:dyDescent="0.25">
      <c r="A1374" s="3">
        <v>42816</v>
      </c>
    </row>
    <row r="1375" spans="1:1" x14ac:dyDescent="0.25">
      <c r="A1375" s="3">
        <v>42817</v>
      </c>
    </row>
    <row r="1376" spans="1:1" x14ac:dyDescent="0.25">
      <c r="A1376" s="3">
        <v>42818</v>
      </c>
    </row>
    <row r="1377" spans="1:1" x14ac:dyDescent="0.25">
      <c r="A1377" s="3">
        <v>42819</v>
      </c>
    </row>
    <row r="1378" spans="1:1" x14ac:dyDescent="0.25">
      <c r="A1378" s="3">
        <v>42820</v>
      </c>
    </row>
    <row r="1379" spans="1:1" x14ac:dyDescent="0.25">
      <c r="A1379" s="3">
        <v>42821</v>
      </c>
    </row>
    <row r="1380" spans="1:1" x14ac:dyDescent="0.25">
      <c r="A1380" s="3">
        <v>42822</v>
      </c>
    </row>
    <row r="1381" spans="1:1" x14ac:dyDescent="0.25">
      <c r="A1381" s="3">
        <v>42823</v>
      </c>
    </row>
    <row r="1382" spans="1:1" x14ac:dyDescent="0.25">
      <c r="A1382" s="3">
        <v>42824</v>
      </c>
    </row>
    <row r="1383" spans="1:1" x14ac:dyDescent="0.25">
      <c r="A1383" s="3">
        <v>42825</v>
      </c>
    </row>
    <row r="1384" spans="1:1" x14ac:dyDescent="0.25">
      <c r="A1384" s="3">
        <v>42826</v>
      </c>
    </row>
    <row r="1385" spans="1:1" x14ac:dyDescent="0.25">
      <c r="A1385" s="3">
        <v>42827</v>
      </c>
    </row>
    <row r="1386" spans="1:1" x14ac:dyDescent="0.25">
      <c r="A1386" s="3">
        <v>42828</v>
      </c>
    </row>
    <row r="1387" spans="1:1" x14ac:dyDescent="0.25">
      <c r="A1387" s="3">
        <v>42829</v>
      </c>
    </row>
    <row r="1388" spans="1:1" x14ac:dyDescent="0.25">
      <c r="A1388" s="3">
        <v>42830</v>
      </c>
    </row>
    <row r="1389" spans="1:1" x14ac:dyDescent="0.25">
      <c r="A1389" s="3">
        <v>42831</v>
      </c>
    </row>
    <row r="1390" spans="1:1" x14ac:dyDescent="0.25">
      <c r="A1390" s="3">
        <v>42832</v>
      </c>
    </row>
    <row r="1391" spans="1:1" x14ac:dyDescent="0.25">
      <c r="A1391" s="3">
        <v>42833</v>
      </c>
    </row>
    <row r="1392" spans="1:1" x14ac:dyDescent="0.25">
      <c r="A1392" s="3">
        <v>42834</v>
      </c>
    </row>
    <row r="1393" spans="1:1" x14ac:dyDescent="0.25">
      <c r="A1393" s="3">
        <v>42835</v>
      </c>
    </row>
    <row r="1394" spans="1:1" x14ac:dyDescent="0.25">
      <c r="A1394" s="3">
        <v>42836</v>
      </c>
    </row>
    <row r="1395" spans="1:1" x14ac:dyDescent="0.25">
      <c r="A1395" s="3">
        <v>42837</v>
      </c>
    </row>
    <row r="1396" spans="1:1" x14ac:dyDescent="0.25">
      <c r="A1396" s="3">
        <v>42838</v>
      </c>
    </row>
    <row r="1397" spans="1:1" x14ac:dyDescent="0.25">
      <c r="A1397" s="3">
        <v>42839</v>
      </c>
    </row>
    <row r="1398" spans="1:1" x14ac:dyDescent="0.25">
      <c r="A1398" s="3">
        <v>42840</v>
      </c>
    </row>
    <row r="1399" spans="1:1" x14ac:dyDescent="0.25">
      <c r="A1399" s="3">
        <v>42841</v>
      </c>
    </row>
    <row r="1400" spans="1:1" x14ac:dyDescent="0.25">
      <c r="A1400" s="3">
        <v>42842</v>
      </c>
    </row>
    <row r="1401" spans="1:1" x14ac:dyDescent="0.25">
      <c r="A1401" s="3">
        <v>42843</v>
      </c>
    </row>
    <row r="1402" spans="1:1" x14ac:dyDescent="0.25">
      <c r="A1402" s="3">
        <v>42844</v>
      </c>
    </row>
    <row r="1403" spans="1:1" x14ac:dyDescent="0.25">
      <c r="A1403" s="3">
        <v>42845</v>
      </c>
    </row>
    <row r="1404" spans="1:1" x14ac:dyDescent="0.25">
      <c r="A1404" s="3">
        <v>42846</v>
      </c>
    </row>
    <row r="1405" spans="1:1" x14ac:dyDescent="0.25">
      <c r="A1405" s="3">
        <v>42847</v>
      </c>
    </row>
    <row r="1406" spans="1:1" x14ac:dyDescent="0.25">
      <c r="A1406" s="3">
        <v>42848</v>
      </c>
    </row>
    <row r="1407" spans="1:1" x14ac:dyDescent="0.25">
      <c r="A1407" s="3">
        <v>42849</v>
      </c>
    </row>
    <row r="1408" spans="1:1" x14ac:dyDescent="0.25">
      <c r="A1408" s="3">
        <v>42850</v>
      </c>
    </row>
    <row r="1409" spans="1:1" x14ac:dyDescent="0.25">
      <c r="A1409" s="3">
        <v>42851</v>
      </c>
    </row>
    <row r="1410" spans="1:1" x14ac:dyDescent="0.25">
      <c r="A1410" s="3">
        <v>42852</v>
      </c>
    </row>
    <row r="1411" spans="1:1" x14ac:dyDescent="0.25">
      <c r="A1411" s="3">
        <v>42853</v>
      </c>
    </row>
    <row r="1412" spans="1:1" x14ac:dyDescent="0.25">
      <c r="A1412" s="3">
        <v>42854</v>
      </c>
    </row>
    <row r="1413" spans="1:1" x14ac:dyDescent="0.25">
      <c r="A1413" s="3">
        <v>42855</v>
      </c>
    </row>
    <row r="1414" spans="1:1" x14ac:dyDescent="0.25">
      <c r="A1414" s="3">
        <v>42856</v>
      </c>
    </row>
    <row r="1415" spans="1:1" x14ac:dyDescent="0.25">
      <c r="A1415" s="3">
        <v>42857</v>
      </c>
    </row>
    <row r="1416" spans="1:1" x14ac:dyDescent="0.25">
      <c r="A1416" s="3">
        <v>42858</v>
      </c>
    </row>
    <row r="1417" spans="1:1" x14ac:dyDescent="0.25">
      <c r="A1417" s="3">
        <v>42859</v>
      </c>
    </row>
    <row r="1418" spans="1:1" x14ac:dyDescent="0.25">
      <c r="A1418" s="3">
        <v>42860</v>
      </c>
    </row>
    <row r="1419" spans="1:1" x14ac:dyDescent="0.25">
      <c r="A1419" s="3">
        <v>42861</v>
      </c>
    </row>
    <row r="1420" spans="1:1" x14ac:dyDescent="0.25">
      <c r="A1420" s="3">
        <v>42862</v>
      </c>
    </row>
    <row r="1421" spans="1:1" x14ac:dyDescent="0.25">
      <c r="A1421" s="3">
        <v>42863</v>
      </c>
    </row>
    <row r="1422" spans="1:1" x14ac:dyDescent="0.25">
      <c r="A1422" s="3">
        <v>42864</v>
      </c>
    </row>
    <row r="1423" spans="1:1" x14ac:dyDescent="0.25">
      <c r="A1423" s="3">
        <v>42865</v>
      </c>
    </row>
    <row r="1424" spans="1:1" x14ac:dyDescent="0.25">
      <c r="A1424" s="3">
        <v>42866</v>
      </c>
    </row>
    <row r="1425" spans="1:1" x14ac:dyDescent="0.25">
      <c r="A1425" s="3">
        <v>42867</v>
      </c>
    </row>
    <row r="1426" spans="1:1" x14ac:dyDescent="0.25">
      <c r="A1426" s="3">
        <v>42868</v>
      </c>
    </row>
    <row r="1427" spans="1:1" x14ac:dyDescent="0.25">
      <c r="A1427" s="3">
        <v>42869</v>
      </c>
    </row>
    <row r="1428" spans="1:1" x14ac:dyDescent="0.25">
      <c r="A1428" s="3">
        <v>42870</v>
      </c>
    </row>
    <row r="1429" spans="1:1" x14ac:dyDescent="0.25">
      <c r="A1429" s="3">
        <v>42871</v>
      </c>
    </row>
    <row r="1430" spans="1:1" x14ac:dyDescent="0.25">
      <c r="A1430" s="3">
        <v>42872</v>
      </c>
    </row>
    <row r="1431" spans="1:1" x14ac:dyDescent="0.25">
      <c r="A1431" s="3">
        <v>42873</v>
      </c>
    </row>
    <row r="1432" spans="1:1" x14ac:dyDescent="0.25">
      <c r="A1432" s="3">
        <v>42874</v>
      </c>
    </row>
    <row r="1433" spans="1:1" x14ac:dyDescent="0.25">
      <c r="A1433" s="3">
        <v>42875</v>
      </c>
    </row>
    <row r="1434" spans="1:1" x14ac:dyDescent="0.25">
      <c r="A1434" s="3">
        <v>42876</v>
      </c>
    </row>
    <row r="1435" spans="1:1" x14ac:dyDescent="0.25">
      <c r="A1435" s="3">
        <v>42877</v>
      </c>
    </row>
    <row r="1436" spans="1:1" x14ac:dyDescent="0.25">
      <c r="A1436" s="3">
        <v>42878</v>
      </c>
    </row>
    <row r="1437" spans="1:1" x14ac:dyDescent="0.25">
      <c r="A1437" s="3">
        <v>42879</v>
      </c>
    </row>
    <row r="1438" spans="1:1" x14ac:dyDescent="0.25">
      <c r="A1438" s="3">
        <v>42880</v>
      </c>
    </row>
    <row r="1439" spans="1:1" x14ac:dyDescent="0.25">
      <c r="A1439" s="3">
        <v>42881</v>
      </c>
    </row>
    <row r="1440" spans="1:1" x14ac:dyDescent="0.25">
      <c r="A1440" s="3">
        <v>42882</v>
      </c>
    </row>
    <row r="1441" spans="1:1" x14ac:dyDescent="0.25">
      <c r="A1441" s="3">
        <v>42883</v>
      </c>
    </row>
    <row r="1442" spans="1:1" x14ac:dyDescent="0.25">
      <c r="A1442" s="3">
        <v>42884</v>
      </c>
    </row>
    <row r="1443" spans="1:1" x14ac:dyDescent="0.25">
      <c r="A1443" s="3">
        <v>42885</v>
      </c>
    </row>
    <row r="1444" spans="1:1" x14ac:dyDescent="0.25">
      <c r="A1444" s="3">
        <v>42886</v>
      </c>
    </row>
    <row r="1445" spans="1:1" x14ac:dyDescent="0.25">
      <c r="A1445" s="3">
        <v>42887</v>
      </c>
    </row>
    <row r="1446" spans="1:1" x14ac:dyDescent="0.25">
      <c r="A1446" s="3">
        <v>42888</v>
      </c>
    </row>
    <row r="1447" spans="1:1" x14ac:dyDescent="0.25">
      <c r="A1447" s="3">
        <v>42889</v>
      </c>
    </row>
    <row r="1448" spans="1:1" x14ac:dyDescent="0.25">
      <c r="A1448" s="3">
        <v>42890</v>
      </c>
    </row>
    <row r="1449" spans="1:1" x14ac:dyDescent="0.25">
      <c r="A1449" s="3">
        <v>42891</v>
      </c>
    </row>
    <row r="1450" spans="1:1" x14ac:dyDescent="0.25">
      <c r="A1450" s="3">
        <v>42892</v>
      </c>
    </row>
    <row r="1451" spans="1:1" x14ac:dyDescent="0.25">
      <c r="A1451" s="3">
        <v>42893</v>
      </c>
    </row>
    <row r="1452" spans="1:1" x14ac:dyDescent="0.25">
      <c r="A1452" s="3">
        <v>42894</v>
      </c>
    </row>
    <row r="1453" spans="1:1" x14ac:dyDescent="0.25">
      <c r="A1453" s="3">
        <v>42895</v>
      </c>
    </row>
    <row r="1454" spans="1:1" x14ac:dyDescent="0.25">
      <c r="A1454" s="3">
        <v>42896</v>
      </c>
    </row>
    <row r="1455" spans="1:1" x14ac:dyDescent="0.25">
      <c r="A1455" s="3">
        <v>42897</v>
      </c>
    </row>
    <row r="1456" spans="1:1" x14ac:dyDescent="0.25">
      <c r="A1456" s="3">
        <v>42898</v>
      </c>
    </row>
    <row r="1457" spans="1:1" x14ac:dyDescent="0.25">
      <c r="A1457" s="3">
        <v>42899</v>
      </c>
    </row>
    <row r="1458" spans="1:1" x14ac:dyDescent="0.25">
      <c r="A1458" s="3">
        <v>42900</v>
      </c>
    </row>
    <row r="1459" spans="1:1" x14ac:dyDescent="0.25">
      <c r="A1459" s="3">
        <v>42901</v>
      </c>
    </row>
    <row r="1460" spans="1:1" x14ac:dyDescent="0.25">
      <c r="A1460" s="3">
        <v>42902</v>
      </c>
    </row>
    <row r="1461" spans="1:1" x14ac:dyDescent="0.25">
      <c r="A1461" s="3">
        <v>42903</v>
      </c>
    </row>
    <row r="1462" spans="1:1" x14ac:dyDescent="0.25">
      <c r="A1462" s="3">
        <v>42904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D22E-2765-4F9E-B1E9-CF602378985C}">
  <sheetPr published="0"/>
  <dimension ref="A1:V11"/>
  <sheetViews>
    <sheetView workbookViewId="0">
      <selection activeCell="M23" sqref="M23"/>
    </sheetView>
  </sheetViews>
  <sheetFormatPr defaultColWidth="8.85546875" defaultRowHeight="15" x14ac:dyDescent="0.25"/>
  <cols>
    <col min="1" max="1" width="53.28515625" style="22" customWidth="1"/>
    <col min="2" max="2" width="36.85546875" style="22" customWidth="1"/>
    <col min="3" max="22" width="8.85546875" style="8"/>
  </cols>
  <sheetData>
    <row r="1" spans="1:2" s="15" customFormat="1" ht="21" x14ac:dyDescent="0.35">
      <c r="A1" s="95" t="s">
        <v>403</v>
      </c>
      <c r="B1" s="96"/>
    </row>
    <row r="2" spans="1:2" x14ac:dyDescent="0.25">
      <c r="A2" s="17" t="s">
        <v>393</v>
      </c>
      <c r="B2" s="16"/>
    </row>
    <row r="3" spans="1:2" x14ac:dyDescent="0.25">
      <c r="A3" s="17" t="s">
        <v>394</v>
      </c>
      <c r="B3" s="18"/>
    </row>
    <row r="4" spans="1:2" ht="30" x14ac:dyDescent="0.25">
      <c r="A4" s="19" t="s">
        <v>395</v>
      </c>
      <c r="B4" s="20"/>
    </row>
    <row r="5" spans="1:2" ht="15.75" thickBot="1" x14ac:dyDescent="0.3">
      <c r="A5" s="27" t="s">
        <v>396</v>
      </c>
      <c r="B5" s="21" t="s">
        <v>397</v>
      </c>
    </row>
    <row r="6" spans="1:2" ht="15.75" thickBot="1" x14ac:dyDescent="0.3"/>
    <row r="7" spans="1:2" s="15" customFormat="1" ht="27" customHeight="1" x14ac:dyDescent="0.35">
      <c r="A7" s="95" t="s">
        <v>398</v>
      </c>
      <c r="B7" s="96"/>
    </row>
    <row r="8" spans="1:2" x14ac:dyDescent="0.25">
      <c r="A8" s="23" t="s">
        <v>399</v>
      </c>
      <c r="B8" s="16"/>
    </row>
    <row r="9" spans="1:2" ht="30" x14ac:dyDescent="0.25">
      <c r="A9" s="24" t="s">
        <v>400</v>
      </c>
      <c r="B9" s="25"/>
    </row>
    <row r="10" spans="1:2" x14ac:dyDescent="0.25">
      <c r="A10" s="23" t="s">
        <v>401</v>
      </c>
      <c r="B10" s="16"/>
    </row>
    <row r="11" spans="1:2" x14ac:dyDescent="0.25">
      <c r="A11" s="26" t="s">
        <v>402</v>
      </c>
      <c r="B11" s="16"/>
    </row>
  </sheetData>
  <mergeCells count="2">
    <mergeCell ref="A1:B1"/>
    <mergeCell ref="A7:B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codeName="Sheet5"/>
  <dimension ref="A1:IV8"/>
  <sheetViews>
    <sheetView workbookViewId="0">
      <selection activeCell="X8" sqref="X8"/>
    </sheetView>
  </sheetViews>
  <sheetFormatPr defaultColWidth="8.85546875" defaultRowHeight="15" x14ac:dyDescent="0.25"/>
  <sheetData>
    <row r="1" spans="1:256" x14ac:dyDescent="0.25">
      <c r="A1" t="e">
        <f>IF(#REF!,"AAAAAF/sjgA=",0)</f>
        <v>#REF!</v>
      </c>
      <c r="B1" t="e">
        <f>AND(#REF!,"AAAAAF/sjgE=")</f>
        <v>#REF!</v>
      </c>
      <c r="C1" t="e">
        <f>AND(#REF!,"AAAAAF/sjgI=")</f>
        <v>#REF!</v>
      </c>
      <c r="D1" t="e">
        <f>AND(#REF!,"AAAAAF/sjgM=")</f>
        <v>#REF!</v>
      </c>
      <c r="E1" t="e">
        <f>IF(#REF!,"AAAAAF/sjgQ=",0)</f>
        <v>#REF!</v>
      </c>
      <c r="F1" t="e">
        <f>AND(#REF!,"AAAAAF/sjgU=")</f>
        <v>#REF!</v>
      </c>
      <c r="G1" t="e">
        <f>AND(#REF!,"AAAAAF/sjgY=")</f>
        <v>#REF!</v>
      </c>
      <c r="H1" t="e">
        <f>AND(#REF!,"AAAAAF/sjgc=")</f>
        <v>#REF!</v>
      </c>
      <c r="I1" t="e">
        <f>IF(#REF!,"AAAAAF/sjgg=",0)</f>
        <v>#REF!</v>
      </c>
      <c r="J1" t="e">
        <f>AND(#REF!,"AAAAAF/sjgk=")</f>
        <v>#REF!</v>
      </c>
      <c r="K1" t="e">
        <f>AND(#REF!,"AAAAAF/sjgo=")</f>
        <v>#REF!</v>
      </c>
      <c r="L1" t="e">
        <f>AND(#REF!,"AAAAAF/sjgs=")</f>
        <v>#REF!</v>
      </c>
      <c r="M1" t="e">
        <f>IF(#REF!,"AAAAAF/sjgw=",0)</f>
        <v>#REF!</v>
      </c>
      <c r="N1" t="e">
        <f>AND(#REF!,"AAAAAF/sjg0=")</f>
        <v>#REF!</v>
      </c>
      <c r="O1" t="e">
        <f>AND(#REF!,"AAAAAF/sjg4=")</f>
        <v>#REF!</v>
      </c>
      <c r="P1" t="e">
        <f>AND(#REF!,"AAAAAF/sjg8=")</f>
        <v>#REF!</v>
      </c>
      <c r="Q1" t="e">
        <f>IF(#REF!,"AAAAAF/sjhA=",0)</f>
        <v>#REF!</v>
      </c>
      <c r="R1" t="e">
        <f>AND(#REF!,"AAAAAF/sjhE=")</f>
        <v>#REF!</v>
      </c>
      <c r="S1" t="e">
        <f>AND(#REF!,"AAAAAF/sjhI=")</f>
        <v>#REF!</v>
      </c>
      <c r="T1" t="e">
        <f>AND(#REF!,"AAAAAF/sjhM=")</f>
        <v>#REF!</v>
      </c>
      <c r="U1" t="e">
        <f>IF(#REF!,"AAAAAF/sjhQ=",0)</f>
        <v>#REF!</v>
      </c>
      <c r="V1" t="e">
        <f>AND(#REF!,"AAAAAF/sjhU=")</f>
        <v>#REF!</v>
      </c>
      <c r="W1" t="e">
        <f>AND(#REF!,"AAAAAF/sjhY=")</f>
        <v>#REF!</v>
      </c>
      <c r="X1" t="e">
        <f>AND(#REF!,"AAAAAF/sjhc=")</f>
        <v>#REF!</v>
      </c>
      <c r="Y1" t="e">
        <f>IF(#REF!,"AAAAAF/sjhg=",0)</f>
        <v>#REF!</v>
      </c>
      <c r="Z1" t="e">
        <f>AND(#REF!,"AAAAAF/sjhk=")</f>
        <v>#REF!</v>
      </c>
      <c r="AA1" t="e">
        <f>AND(#REF!,"AAAAAF/sjho=")</f>
        <v>#REF!</v>
      </c>
      <c r="AB1" t="e">
        <f>AND(#REF!,"AAAAAF/sjhs=")</f>
        <v>#REF!</v>
      </c>
      <c r="AC1" t="e">
        <f>IF(#REF!,"AAAAAF/sjhw=",0)</f>
        <v>#REF!</v>
      </c>
      <c r="AD1" t="e">
        <f>AND(#REF!,"AAAAAF/sjh0=")</f>
        <v>#REF!</v>
      </c>
      <c r="AE1" t="e">
        <f>AND(#REF!,"AAAAAF/sjh4=")</f>
        <v>#REF!</v>
      </c>
      <c r="AF1" t="e">
        <f>AND(#REF!,"AAAAAF/sjh8=")</f>
        <v>#REF!</v>
      </c>
      <c r="AG1" t="e">
        <f>IF(#REF!,"AAAAAF/sjiA=",0)</f>
        <v>#REF!</v>
      </c>
      <c r="AH1" t="e">
        <f>AND(#REF!,"AAAAAF/sjiE=")</f>
        <v>#REF!</v>
      </c>
      <c r="AI1" t="e">
        <f>AND(#REF!,"AAAAAF/sjiI=")</f>
        <v>#REF!</v>
      </c>
      <c r="AJ1" t="e">
        <f>AND(#REF!,"AAAAAF/sjiM=")</f>
        <v>#REF!</v>
      </c>
      <c r="AK1" t="e">
        <f>IF(#REF!,"AAAAAF/sjiQ=",0)</f>
        <v>#REF!</v>
      </c>
      <c r="AL1" t="e">
        <f>AND(#REF!,"AAAAAF/sjiU=")</f>
        <v>#REF!</v>
      </c>
      <c r="AM1" t="e">
        <f>AND(#REF!,"AAAAAF/sjiY=")</f>
        <v>#REF!</v>
      </c>
      <c r="AN1" t="e">
        <f>AND(#REF!,"AAAAAF/sjic=")</f>
        <v>#REF!</v>
      </c>
      <c r="AO1" t="e">
        <f>IF(#REF!,"AAAAAF/sjig=",0)</f>
        <v>#REF!</v>
      </c>
      <c r="AP1" t="e">
        <f>AND(#REF!,"AAAAAF/sjik=")</f>
        <v>#REF!</v>
      </c>
      <c r="AQ1" t="e">
        <f>AND(#REF!,"AAAAAF/sjio=")</f>
        <v>#REF!</v>
      </c>
      <c r="AR1" t="e">
        <f>AND(#REF!,"AAAAAF/sjis=")</f>
        <v>#REF!</v>
      </c>
      <c r="AS1" t="e">
        <f>IF(#REF!,"AAAAAF/sjiw=",0)</f>
        <v>#REF!</v>
      </c>
      <c r="AT1" t="e">
        <f>AND(#REF!,"AAAAAF/sji0=")</f>
        <v>#REF!</v>
      </c>
      <c r="AU1" t="e">
        <f>AND(#REF!,"AAAAAF/sji4=")</f>
        <v>#REF!</v>
      </c>
      <c r="AV1" t="e">
        <f>AND(#REF!,"AAAAAF/sji8=")</f>
        <v>#REF!</v>
      </c>
      <c r="AW1" t="e">
        <f>IF(#REF!,"AAAAAF/sjjA=",0)</f>
        <v>#REF!</v>
      </c>
      <c r="AX1" t="e">
        <f>AND(#REF!,"AAAAAF/sjjE=")</f>
        <v>#REF!</v>
      </c>
      <c r="AY1" t="e">
        <f>AND(#REF!,"AAAAAF/sjjI=")</f>
        <v>#REF!</v>
      </c>
      <c r="AZ1" t="e">
        <f>AND(#REF!,"AAAAAF/sjjM=")</f>
        <v>#REF!</v>
      </c>
      <c r="BA1" t="e">
        <f>IF(#REF!,"AAAAAF/sjjQ=",0)</f>
        <v>#REF!</v>
      </c>
      <c r="BB1" t="e">
        <f>AND(#REF!,"AAAAAF/sjjU=")</f>
        <v>#REF!</v>
      </c>
      <c r="BC1" t="e">
        <f>AND(#REF!,"AAAAAF/sjjY=")</f>
        <v>#REF!</v>
      </c>
      <c r="BD1" t="e">
        <f>AND(#REF!,"AAAAAF/sjjc=")</f>
        <v>#REF!</v>
      </c>
      <c r="BE1" t="e">
        <f>IF(#REF!,"AAAAAF/sjjg=",0)</f>
        <v>#REF!</v>
      </c>
      <c r="BF1" t="e">
        <f>AND(#REF!,"AAAAAF/sjjk=")</f>
        <v>#REF!</v>
      </c>
      <c r="BG1" t="e">
        <f>AND(#REF!,"AAAAAF/sjjo=")</f>
        <v>#REF!</v>
      </c>
      <c r="BH1" t="e">
        <f>AND(#REF!,"AAAAAF/sjjs=")</f>
        <v>#REF!</v>
      </c>
      <c r="BI1" t="e">
        <f>IF(#REF!,"AAAAAF/sjjw=",0)</f>
        <v>#REF!</v>
      </c>
      <c r="BJ1" t="e">
        <f>AND(#REF!,"AAAAAF/sjj0=")</f>
        <v>#REF!</v>
      </c>
      <c r="BK1" t="e">
        <f>AND(#REF!,"AAAAAF/sjj4=")</f>
        <v>#REF!</v>
      </c>
      <c r="BL1" t="e">
        <f>AND(#REF!,"AAAAAF/sjj8=")</f>
        <v>#REF!</v>
      </c>
      <c r="BM1" t="e">
        <f>IF(#REF!,"AAAAAF/sjkA=",0)</f>
        <v>#REF!</v>
      </c>
      <c r="BN1" t="e">
        <f>AND(#REF!,"AAAAAF/sjkE=")</f>
        <v>#REF!</v>
      </c>
      <c r="BO1" t="e">
        <f>AND(#REF!,"AAAAAF/sjkI=")</f>
        <v>#REF!</v>
      </c>
      <c r="BP1" t="e">
        <f>AND(#REF!,"AAAAAF/sjkM=")</f>
        <v>#REF!</v>
      </c>
      <c r="BQ1" t="e">
        <f>IF(#REF!,"AAAAAF/sjkQ=",0)</f>
        <v>#REF!</v>
      </c>
      <c r="BR1" t="e">
        <f>AND(#REF!,"AAAAAF/sjkU=")</f>
        <v>#REF!</v>
      </c>
      <c r="BS1" t="e">
        <f>AND(#REF!,"AAAAAF/sjkY=")</f>
        <v>#REF!</v>
      </c>
      <c r="BT1" t="e">
        <f>AND(#REF!,"AAAAAF/sjkc=")</f>
        <v>#REF!</v>
      </c>
      <c r="BU1" t="e">
        <f>IF(#REF!,"AAAAAF/sjkg=",0)</f>
        <v>#REF!</v>
      </c>
      <c r="BV1" t="e">
        <f>AND(#REF!,"AAAAAF/sjkk=")</f>
        <v>#REF!</v>
      </c>
      <c r="BW1" t="e">
        <f>AND(#REF!,"AAAAAF/sjko=")</f>
        <v>#REF!</v>
      </c>
      <c r="BX1" t="e">
        <f>AND(#REF!,"AAAAAF/sjks=")</f>
        <v>#REF!</v>
      </c>
      <c r="BY1" t="e">
        <f>IF(#REF!,"AAAAAF/sjkw=",0)</f>
        <v>#REF!</v>
      </c>
      <c r="BZ1" t="e">
        <f>AND(#REF!,"AAAAAF/sjk0=")</f>
        <v>#REF!</v>
      </c>
      <c r="CA1" t="e">
        <f>AND(#REF!,"AAAAAF/sjk4=")</f>
        <v>#REF!</v>
      </c>
      <c r="CB1" t="e">
        <f>AND(#REF!,"AAAAAF/sjk8=")</f>
        <v>#REF!</v>
      </c>
      <c r="CC1" t="e">
        <f>IF(#REF!,"AAAAAF/sjlA=",0)</f>
        <v>#REF!</v>
      </c>
      <c r="CD1" t="e">
        <f>AND(#REF!,"AAAAAF/sjlE=")</f>
        <v>#REF!</v>
      </c>
      <c r="CE1" t="e">
        <f>AND(#REF!,"AAAAAF/sjlI=")</f>
        <v>#REF!</v>
      </c>
      <c r="CF1" t="e">
        <f>AND(#REF!,"AAAAAF/sjlM=")</f>
        <v>#REF!</v>
      </c>
      <c r="CG1" t="e">
        <f>IF(#REF!,"AAAAAF/sjlQ=",0)</f>
        <v>#REF!</v>
      </c>
      <c r="CH1" t="e">
        <f>AND(#REF!,"AAAAAF/sjlU=")</f>
        <v>#REF!</v>
      </c>
      <c r="CI1" t="e">
        <f>AND(#REF!,"AAAAAF/sjlY=")</f>
        <v>#REF!</v>
      </c>
      <c r="CJ1" t="e">
        <f>AND(#REF!,"AAAAAF/sjlc=")</f>
        <v>#REF!</v>
      </c>
      <c r="CK1" t="e">
        <f>IF(#REF!,"AAAAAF/sjlg=",0)</f>
        <v>#REF!</v>
      </c>
      <c r="CL1" t="e">
        <f>AND(#REF!,"AAAAAF/sjlk=")</f>
        <v>#REF!</v>
      </c>
      <c r="CM1" t="e">
        <f>AND(#REF!,"AAAAAF/sjlo=")</f>
        <v>#REF!</v>
      </c>
      <c r="CN1" t="e">
        <f>AND(#REF!,"AAAAAF/sjls=")</f>
        <v>#REF!</v>
      </c>
      <c r="CO1" t="e">
        <f>IF(#REF!,"AAAAAF/sjlw=",0)</f>
        <v>#REF!</v>
      </c>
      <c r="CP1" t="e">
        <f>AND(#REF!,"AAAAAF/sjl0=")</f>
        <v>#REF!</v>
      </c>
      <c r="CQ1" t="e">
        <f>AND(#REF!,"AAAAAF/sjl4=")</f>
        <v>#REF!</v>
      </c>
      <c r="CR1" t="e">
        <f>AND(#REF!,"AAAAAF/sjl8=")</f>
        <v>#REF!</v>
      </c>
      <c r="CS1" t="e">
        <f>IF(#REF!,"AAAAAF/sjmA=",0)</f>
        <v>#REF!</v>
      </c>
      <c r="CT1" t="e">
        <f>AND(#REF!,"AAAAAF/sjmE=")</f>
        <v>#REF!</v>
      </c>
      <c r="CU1" t="e">
        <f>AND(#REF!,"AAAAAF/sjmI=")</f>
        <v>#REF!</v>
      </c>
      <c r="CV1" t="e">
        <f>AND(#REF!,"AAAAAF/sjmM=")</f>
        <v>#REF!</v>
      </c>
      <c r="CW1" t="e">
        <f>IF(#REF!,"AAAAAF/sjmQ=",0)</f>
        <v>#REF!</v>
      </c>
      <c r="CX1" t="e">
        <f>AND(#REF!,"AAAAAF/sjmU=")</f>
        <v>#REF!</v>
      </c>
      <c r="CY1" t="e">
        <f>AND(#REF!,"AAAAAF/sjmY=")</f>
        <v>#REF!</v>
      </c>
      <c r="CZ1" t="e">
        <f>AND(#REF!,"AAAAAF/sjmc=")</f>
        <v>#REF!</v>
      </c>
      <c r="DA1" t="e">
        <f>IF(#REF!,"AAAAAF/sjmg=",0)</f>
        <v>#REF!</v>
      </c>
      <c r="DB1" t="e">
        <f>AND(#REF!,"AAAAAF/sjmk=")</f>
        <v>#REF!</v>
      </c>
      <c r="DC1" t="e">
        <f>AND(#REF!,"AAAAAF/sjmo=")</f>
        <v>#REF!</v>
      </c>
      <c r="DD1" t="e">
        <f>AND(#REF!,"AAAAAF/sjms=")</f>
        <v>#REF!</v>
      </c>
      <c r="DE1" t="e">
        <f>IF(#REF!,"AAAAAF/sjmw=",0)</f>
        <v>#REF!</v>
      </c>
      <c r="DF1" t="e">
        <f>AND(#REF!,"AAAAAF/sjm0=")</f>
        <v>#REF!</v>
      </c>
      <c r="DG1" t="e">
        <f>AND(#REF!,"AAAAAF/sjm4=")</f>
        <v>#REF!</v>
      </c>
      <c r="DH1" t="e">
        <f>AND(#REF!,"AAAAAF/sjm8=")</f>
        <v>#REF!</v>
      </c>
      <c r="DI1" t="e">
        <f>IF(#REF!,"AAAAAF/sjnA=",0)</f>
        <v>#REF!</v>
      </c>
      <c r="DJ1" t="e">
        <f>AND(#REF!,"AAAAAF/sjnE=")</f>
        <v>#REF!</v>
      </c>
      <c r="DK1" t="e">
        <f>AND(#REF!,"AAAAAF/sjnI=")</f>
        <v>#REF!</v>
      </c>
      <c r="DL1" t="e">
        <f>AND(#REF!,"AAAAAF/sjnM=")</f>
        <v>#REF!</v>
      </c>
      <c r="DM1" t="e">
        <f>IF(#REF!,"AAAAAF/sjnQ=",0)</f>
        <v>#REF!</v>
      </c>
      <c r="DN1" t="e">
        <f>AND(#REF!,"AAAAAF/sjnU=")</f>
        <v>#REF!</v>
      </c>
      <c r="DO1" t="e">
        <f>AND(#REF!,"AAAAAF/sjnY=")</f>
        <v>#REF!</v>
      </c>
      <c r="DP1" t="e">
        <f>AND(#REF!,"AAAAAF/sjnc=")</f>
        <v>#REF!</v>
      </c>
      <c r="DQ1" t="e">
        <f>IF(#REF!,"AAAAAF/sjng=",0)</f>
        <v>#REF!</v>
      </c>
      <c r="DR1" t="e">
        <f>AND(#REF!,"AAAAAF/sjnk=")</f>
        <v>#REF!</v>
      </c>
      <c r="DS1" t="e">
        <f>AND(#REF!,"AAAAAF/sjno=")</f>
        <v>#REF!</v>
      </c>
      <c r="DT1" t="e">
        <f>AND(#REF!,"AAAAAF/sjns=")</f>
        <v>#REF!</v>
      </c>
      <c r="DU1" t="e">
        <f>IF(#REF!,"AAAAAF/sjnw=",0)</f>
        <v>#REF!</v>
      </c>
      <c r="DV1" t="e">
        <f>AND(#REF!,"AAAAAF/sjn0=")</f>
        <v>#REF!</v>
      </c>
      <c r="DW1" t="e">
        <f>AND(#REF!,"AAAAAF/sjn4=")</f>
        <v>#REF!</v>
      </c>
      <c r="DX1" t="e">
        <f>AND(#REF!,"AAAAAF/sjn8=")</f>
        <v>#REF!</v>
      </c>
      <c r="DY1" t="e">
        <f>IF(#REF!,"AAAAAF/sjoA=",0)</f>
        <v>#REF!</v>
      </c>
      <c r="DZ1" t="e">
        <f>AND(#REF!,"AAAAAF/sjoE=")</f>
        <v>#REF!</v>
      </c>
      <c r="EA1" t="e">
        <f>AND(#REF!,"AAAAAF/sjoI=")</f>
        <v>#REF!</v>
      </c>
      <c r="EB1" t="e">
        <f>AND(#REF!,"AAAAAF/sjoM=")</f>
        <v>#REF!</v>
      </c>
      <c r="EC1" t="e">
        <f>IF(#REF!,"AAAAAF/sjoQ=",0)</f>
        <v>#REF!</v>
      </c>
      <c r="ED1" t="e">
        <f>AND(#REF!,"AAAAAF/sjoU=")</f>
        <v>#REF!</v>
      </c>
      <c r="EE1" t="e">
        <f>AND(#REF!,"AAAAAF/sjoY=")</f>
        <v>#REF!</v>
      </c>
      <c r="EF1" t="e">
        <f>AND(#REF!,"AAAAAF/sjoc=")</f>
        <v>#REF!</v>
      </c>
      <c r="EG1" t="e">
        <f>IF(#REF!,"AAAAAF/sjog=",0)</f>
        <v>#REF!</v>
      </c>
      <c r="EH1" t="e">
        <f>IF(#REF!,"AAAAAF/sjok=",0)</f>
        <v>#REF!</v>
      </c>
      <c r="EI1" t="e">
        <f>IF(#REF!,"AAAAAF/sjoo=",0)</f>
        <v>#REF!</v>
      </c>
      <c r="EJ1" t="e">
        <f>IF(#REF!,"AAAAAF/sjos=",0)</f>
        <v>#REF!</v>
      </c>
      <c r="EK1" t="e">
        <f>AND(#REF!,"AAAAAF/sjow=")</f>
        <v>#REF!</v>
      </c>
      <c r="EL1" t="e">
        <f>AND(#REF!,"AAAAAF/sjo0=")</f>
        <v>#REF!</v>
      </c>
      <c r="EM1" t="e">
        <f>AND(#REF!,"AAAAAF/sjo4=")</f>
        <v>#REF!</v>
      </c>
      <c r="EN1" t="e">
        <f>AND(#REF!,"AAAAAF/sjo8=")</f>
        <v>#REF!</v>
      </c>
      <c r="EO1" t="e">
        <f>IF(#REF!,"AAAAAF/sjpA=",0)</f>
        <v>#REF!</v>
      </c>
      <c r="EP1" t="e">
        <f>AND(#REF!,"AAAAAF/sjpE=")</f>
        <v>#REF!</v>
      </c>
      <c r="EQ1" t="e">
        <f>AND(#REF!,"AAAAAF/sjpI=")</f>
        <v>#REF!</v>
      </c>
      <c r="ER1" t="e">
        <f>AND(#REF!,"AAAAAF/sjpM=")</f>
        <v>#REF!</v>
      </c>
      <c r="ES1" t="e">
        <f>AND(#REF!,"AAAAAF/sjpQ=")</f>
        <v>#REF!</v>
      </c>
      <c r="ET1" t="e">
        <f>IF(#REF!,"AAAAAF/sjpU=",0)</f>
        <v>#REF!</v>
      </c>
      <c r="EU1" t="e">
        <f>AND(#REF!,"AAAAAF/sjpY=")</f>
        <v>#REF!</v>
      </c>
      <c r="EV1" t="e">
        <f>AND(#REF!,"AAAAAF/sjpc=")</f>
        <v>#REF!</v>
      </c>
      <c r="EW1" t="e">
        <f>AND(#REF!,"AAAAAF/sjpg=")</f>
        <v>#REF!</v>
      </c>
      <c r="EX1" t="e">
        <f>AND(#REF!,"AAAAAF/sjpk=")</f>
        <v>#REF!</v>
      </c>
      <c r="EY1" t="e">
        <f>IF(#REF!,"AAAAAF/sjpo=",0)</f>
        <v>#REF!</v>
      </c>
      <c r="EZ1" t="e">
        <f>AND(#REF!,"AAAAAF/sjps=")</f>
        <v>#REF!</v>
      </c>
      <c r="FA1" t="e">
        <f>AND(#REF!,"AAAAAF/sjpw=")</f>
        <v>#REF!</v>
      </c>
      <c r="FB1" t="e">
        <f>AND(#REF!,"AAAAAF/sjp0=")</f>
        <v>#REF!</v>
      </c>
      <c r="FC1" t="e">
        <f>AND(#REF!,"AAAAAF/sjp4=")</f>
        <v>#REF!</v>
      </c>
      <c r="FD1" t="e">
        <f>IF(#REF!,"AAAAAF/sjp8=",0)</f>
        <v>#REF!</v>
      </c>
      <c r="FE1" t="e">
        <f>AND(#REF!,"AAAAAF/sjqA=")</f>
        <v>#REF!</v>
      </c>
      <c r="FF1" t="e">
        <f>AND(#REF!,"AAAAAF/sjqE=")</f>
        <v>#REF!</v>
      </c>
      <c r="FG1" t="e">
        <f>AND(#REF!,"AAAAAF/sjqI=")</f>
        <v>#REF!</v>
      </c>
      <c r="FH1" t="e">
        <f>AND(#REF!,"AAAAAF/sjqM=")</f>
        <v>#REF!</v>
      </c>
      <c r="FI1" t="e">
        <f>IF(#REF!,"AAAAAF/sjqQ=",0)</f>
        <v>#REF!</v>
      </c>
      <c r="FJ1" t="e">
        <f>AND(#REF!,"AAAAAF/sjqU=")</f>
        <v>#REF!</v>
      </c>
      <c r="FK1" t="e">
        <f>AND(#REF!,"AAAAAF/sjqY=")</f>
        <v>#REF!</v>
      </c>
      <c r="FL1" t="e">
        <f>AND(#REF!,"AAAAAF/sjqc=")</f>
        <v>#REF!</v>
      </c>
      <c r="FM1" t="e">
        <f>AND(#REF!,"AAAAAF/sjqg=")</f>
        <v>#REF!</v>
      </c>
      <c r="FN1" t="e">
        <f>IF(#REF!,"AAAAAF/sjqk=",0)</f>
        <v>#REF!</v>
      </c>
      <c r="FO1" t="e">
        <f>AND(#REF!,"AAAAAF/sjqo=")</f>
        <v>#REF!</v>
      </c>
      <c r="FP1" t="e">
        <f>AND(#REF!,"AAAAAF/sjqs=")</f>
        <v>#REF!</v>
      </c>
      <c r="FQ1" t="e">
        <f>AND(#REF!,"AAAAAF/sjqw=")</f>
        <v>#REF!</v>
      </c>
      <c r="FR1" t="e">
        <f>AND(#REF!,"AAAAAF/sjq0=")</f>
        <v>#REF!</v>
      </c>
      <c r="FS1" t="e">
        <f>IF(#REF!,"AAAAAF/sjq4=",0)</f>
        <v>#REF!</v>
      </c>
      <c r="FT1" t="e">
        <f>AND(#REF!,"AAAAAF/sjq8=")</f>
        <v>#REF!</v>
      </c>
      <c r="FU1" t="e">
        <f>AND(#REF!,"AAAAAF/sjrA=")</f>
        <v>#REF!</v>
      </c>
      <c r="FV1" t="e">
        <f>AND(#REF!,"AAAAAF/sjrE=")</f>
        <v>#REF!</v>
      </c>
      <c r="FW1" t="e">
        <f>AND(#REF!,"AAAAAF/sjrI=")</f>
        <v>#REF!</v>
      </c>
      <c r="FX1" t="e">
        <f>IF(#REF!,"AAAAAF/sjrM=",0)</f>
        <v>#REF!</v>
      </c>
      <c r="FY1" t="e">
        <f>AND(#REF!,"AAAAAF/sjrQ=")</f>
        <v>#REF!</v>
      </c>
      <c r="FZ1" t="e">
        <f>AND(#REF!,"AAAAAF/sjrU=")</f>
        <v>#REF!</v>
      </c>
      <c r="GA1" t="e">
        <f>AND(#REF!,"AAAAAF/sjrY=")</f>
        <v>#REF!</v>
      </c>
      <c r="GB1" t="e">
        <f>AND(#REF!,"AAAAAF/sjrc=")</f>
        <v>#REF!</v>
      </c>
      <c r="GC1" t="e">
        <f>IF(#REF!,"AAAAAF/sjrg=",0)</f>
        <v>#REF!</v>
      </c>
      <c r="GD1" t="e">
        <f>AND(#REF!,"AAAAAF/sjrk=")</f>
        <v>#REF!</v>
      </c>
      <c r="GE1" t="e">
        <f>AND(#REF!,"AAAAAF/sjro=")</f>
        <v>#REF!</v>
      </c>
      <c r="GF1" t="e">
        <f>AND(#REF!,"AAAAAF/sjrs=")</f>
        <v>#REF!</v>
      </c>
      <c r="GG1" t="e">
        <f>AND(#REF!,"AAAAAF/sjrw=")</f>
        <v>#REF!</v>
      </c>
      <c r="GH1" t="e">
        <f>IF(#REF!,"AAAAAF/sjr0=",0)</f>
        <v>#REF!</v>
      </c>
      <c r="GI1" t="e">
        <f>AND(#REF!,"AAAAAF/sjr4=")</f>
        <v>#REF!</v>
      </c>
      <c r="GJ1" t="e">
        <f>AND(#REF!,"AAAAAF/sjr8=")</f>
        <v>#REF!</v>
      </c>
      <c r="GK1" t="e">
        <f>AND(#REF!,"AAAAAF/sjsA=")</f>
        <v>#REF!</v>
      </c>
      <c r="GL1" t="e">
        <f>AND(#REF!,"AAAAAF/sjsE=")</f>
        <v>#REF!</v>
      </c>
      <c r="GM1" t="e">
        <f>IF(#REF!,"AAAAAF/sjsI=",0)</f>
        <v>#REF!</v>
      </c>
      <c r="GN1" t="e">
        <f>AND(#REF!,"AAAAAF/sjsM=")</f>
        <v>#REF!</v>
      </c>
      <c r="GO1" t="e">
        <f>AND(#REF!,"AAAAAF/sjsQ=")</f>
        <v>#REF!</v>
      </c>
      <c r="GP1" t="e">
        <f>AND(#REF!,"AAAAAF/sjsU=")</f>
        <v>#REF!</v>
      </c>
      <c r="GQ1" t="e">
        <f>AND(#REF!,"AAAAAF/sjsY=")</f>
        <v>#REF!</v>
      </c>
      <c r="GR1" t="e">
        <f>IF(#REF!,"AAAAAF/sjsc=",0)</f>
        <v>#REF!</v>
      </c>
      <c r="GS1" t="e">
        <f>AND(#REF!,"AAAAAF/sjsg=")</f>
        <v>#REF!</v>
      </c>
      <c r="GT1" t="e">
        <f>AND(#REF!,"AAAAAF/sjsk=")</f>
        <v>#REF!</v>
      </c>
      <c r="GU1" t="e">
        <f>AND(#REF!,"AAAAAF/sjso=")</f>
        <v>#REF!</v>
      </c>
      <c r="GV1" t="e">
        <f>AND(#REF!,"AAAAAF/sjss=")</f>
        <v>#REF!</v>
      </c>
      <c r="GW1" t="e">
        <f>IF(#REF!,"AAAAAF/sjsw=",0)</f>
        <v>#REF!</v>
      </c>
      <c r="GX1" t="e">
        <f>AND(#REF!,"AAAAAF/sjs0=")</f>
        <v>#REF!</v>
      </c>
      <c r="GY1" t="e">
        <f>AND(#REF!,"AAAAAF/sjs4=")</f>
        <v>#REF!</v>
      </c>
      <c r="GZ1" t="e">
        <f>AND(#REF!,"AAAAAF/sjs8=")</f>
        <v>#REF!</v>
      </c>
      <c r="HA1" t="e">
        <f>AND(#REF!,"AAAAAF/sjtA=")</f>
        <v>#REF!</v>
      </c>
      <c r="HB1" t="e">
        <f>IF(#REF!,"AAAAAF/sjtE=",0)</f>
        <v>#REF!</v>
      </c>
      <c r="HC1" t="e">
        <f>AND(#REF!,"AAAAAF/sjtI=")</f>
        <v>#REF!</v>
      </c>
      <c r="HD1" t="e">
        <f>AND(#REF!,"AAAAAF/sjtM=")</f>
        <v>#REF!</v>
      </c>
      <c r="HE1" t="e">
        <f>AND(#REF!,"AAAAAF/sjtQ=")</f>
        <v>#REF!</v>
      </c>
      <c r="HF1" t="e">
        <f>AND(#REF!,"AAAAAF/sjtU=")</f>
        <v>#REF!</v>
      </c>
      <c r="HG1" t="e">
        <f>IF(#REF!,"AAAAAF/sjtY=",0)</f>
        <v>#REF!</v>
      </c>
      <c r="HH1" t="e">
        <f>AND(#REF!,"AAAAAF/sjtc=")</f>
        <v>#REF!</v>
      </c>
      <c r="HI1" t="e">
        <f>AND(#REF!,"AAAAAF/sjtg=")</f>
        <v>#REF!</v>
      </c>
      <c r="HJ1" t="e">
        <f>AND(#REF!,"AAAAAF/sjtk=")</f>
        <v>#REF!</v>
      </c>
      <c r="HK1" t="e">
        <f>AND(#REF!,"AAAAAF/sjto=")</f>
        <v>#REF!</v>
      </c>
      <c r="HL1" t="e">
        <f>IF(#REF!,"AAAAAF/sjts=",0)</f>
        <v>#REF!</v>
      </c>
      <c r="HM1" t="e">
        <f>AND(#REF!,"AAAAAF/sjtw=")</f>
        <v>#REF!</v>
      </c>
      <c r="HN1" t="e">
        <f>AND(#REF!,"AAAAAF/sjt0=")</f>
        <v>#REF!</v>
      </c>
      <c r="HO1" t="e">
        <f>AND(#REF!,"AAAAAF/sjt4=")</f>
        <v>#REF!</v>
      </c>
      <c r="HP1" t="e">
        <f>AND(#REF!,"AAAAAF/sjt8=")</f>
        <v>#REF!</v>
      </c>
      <c r="HQ1" t="e">
        <f>IF(#REF!,"AAAAAF/sjuA=",0)</f>
        <v>#REF!</v>
      </c>
      <c r="HR1" t="e">
        <f>AND(#REF!,"AAAAAF/sjuE=")</f>
        <v>#REF!</v>
      </c>
      <c r="HS1" t="e">
        <f>AND(#REF!,"AAAAAF/sjuI=")</f>
        <v>#REF!</v>
      </c>
      <c r="HT1" t="e">
        <f>AND(#REF!,"AAAAAF/sjuM=")</f>
        <v>#REF!</v>
      </c>
      <c r="HU1" t="e">
        <f>AND(#REF!,"AAAAAF/sjuQ=")</f>
        <v>#REF!</v>
      </c>
      <c r="HV1" t="e">
        <f>IF(#REF!,"AAAAAF/sjuU=",0)</f>
        <v>#REF!</v>
      </c>
      <c r="HW1" t="e">
        <f>AND(#REF!,"AAAAAF/sjuY=")</f>
        <v>#REF!</v>
      </c>
      <c r="HX1" t="e">
        <f>AND(#REF!,"AAAAAF/sjuc=")</f>
        <v>#REF!</v>
      </c>
      <c r="HY1" t="e">
        <f>AND(#REF!,"AAAAAF/sjug=")</f>
        <v>#REF!</v>
      </c>
      <c r="HZ1" t="e">
        <f>AND(#REF!,"AAAAAF/sjuk=")</f>
        <v>#REF!</v>
      </c>
      <c r="IA1" t="e">
        <f>IF(#REF!,"AAAAAF/sjuo=",0)</f>
        <v>#REF!</v>
      </c>
      <c r="IB1" t="e">
        <f>AND(#REF!,"AAAAAF/sjus=")</f>
        <v>#REF!</v>
      </c>
      <c r="IC1" t="e">
        <f>AND(#REF!,"AAAAAF/sjuw=")</f>
        <v>#REF!</v>
      </c>
      <c r="ID1" t="e">
        <f>AND(#REF!,"AAAAAF/sju0=")</f>
        <v>#REF!</v>
      </c>
      <c r="IE1" t="e">
        <f>AND(#REF!,"AAAAAF/sju4=")</f>
        <v>#REF!</v>
      </c>
      <c r="IF1" t="e">
        <f>IF(#REF!,"AAAAAF/sju8=",0)</f>
        <v>#REF!</v>
      </c>
      <c r="IG1" t="e">
        <f>AND(#REF!,"AAAAAF/sjvA=")</f>
        <v>#REF!</v>
      </c>
      <c r="IH1" t="e">
        <f>AND(#REF!,"AAAAAF/sjvE=")</f>
        <v>#REF!</v>
      </c>
      <c r="II1" t="e">
        <f>AND(#REF!,"AAAAAF/sjvI=")</f>
        <v>#REF!</v>
      </c>
      <c r="IJ1" t="e">
        <f>AND(#REF!,"AAAAAF/sjvM=")</f>
        <v>#REF!</v>
      </c>
      <c r="IK1" t="e">
        <f>IF(#REF!,"AAAAAF/sjvQ=",0)</f>
        <v>#REF!</v>
      </c>
      <c r="IL1" t="e">
        <f>AND(#REF!,"AAAAAF/sjvU=")</f>
        <v>#REF!</v>
      </c>
      <c r="IM1" t="e">
        <f>AND(#REF!,"AAAAAF/sjvY=")</f>
        <v>#REF!</v>
      </c>
      <c r="IN1" t="e">
        <f>AND(#REF!,"AAAAAF/sjvc=")</f>
        <v>#REF!</v>
      </c>
      <c r="IO1" t="e">
        <f>AND(#REF!,"AAAAAF/sjvg=")</f>
        <v>#REF!</v>
      </c>
      <c r="IP1" t="e">
        <f>IF(#REF!,"AAAAAF/sjvk=",0)</f>
        <v>#REF!</v>
      </c>
      <c r="IQ1" t="e">
        <f>AND(#REF!,"AAAAAF/sjvo=")</f>
        <v>#REF!</v>
      </c>
      <c r="IR1" t="e">
        <f>AND(#REF!,"AAAAAF/sjvs=")</f>
        <v>#REF!</v>
      </c>
      <c r="IS1" t="e">
        <f>AND(#REF!,"AAAAAF/sjvw=")</f>
        <v>#REF!</v>
      </c>
      <c r="IT1" t="e">
        <f>AND(#REF!,"AAAAAF/sjv0=")</f>
        <v>#REF!</v>
      </c>
      <c r="IU1" t="e">
        <f>IF(#REF!,"AAAAAF/sjv4=",0)</f>
        <v>#REF!</v>
      </c>
      <c r="IV1" t="e">
        <f>AND(#REF!,"AAAAAF/sjv8=")</f>
        <v>#REF!</v>
      </c>
    </row>
    <row r="2" spans="1:256" x14ac:dyDescent="0.25">
      <c r="A2" t="e">
        <f>AND(#REF!,"AAAAAHy2PQA=")</f>
        <v>#REF!</v>
      </c>
      <c r="B2" t="e">
        <f>AND(#REF!,"AAAAAHy2PQE=")</f>
        <v>#REF!</v>
      </c>
      <c r="C2" t="e">
        <f>AND(#REF!,"AAAAAHy2PQI=")</f>
        <v>#REF!</v>
      </c>
      <c r="D2" t="e">
        <f>IF(#REF!,"AAAAAHy2PQM=",0)</f>
        <v>#REF!</v>
      </c>
      <c r="E2" t="e">
        <f>AND(#REF!,"AAAAAHy2PQQ=")</f>
        <v>#REF!</v>
      </c>
      <c r="F2" t="e">
        <f>AND(#REF!,"AAAAAHy2PQU=")</f>
        <v>#REF!</v>
      </c>
      <c r="G2" t="e">
        <f>AND(#REF!,"AAAAAHy2PQY=")</f>
        <v>#REF!</v>
      </c>
      <c r="H2" t="e">
        <f>AND(#REF!,"AAAAAHy2PQc=")</f>
        <v>#REF!</v>
      </c>
      <c r="I2" t="e">
        <f>IF(#REF!,"AAAAAHy2PQg=",0)</f>
        <v>#REF!</v>
      </c>
      <c r="J2" t="e">
        <f>AND(#REF!,"AAAAAHy2PQk=")</f>
        <v>#REF!</v>
      </c>
      <c r="K2" t="e">
        <f>AND(#REF!,"AAAAAHy2PQo=")</f>
        <v>#REF!</v>
      </c>
      <c r="L2" t="e">
        <f>AND(#REF!,"AAAAAHy2PQs=")</f>
        <v>#REF!</v>
      </c>
      <c r="M2" t="e">
        <f>AND(#REF!,"AAAAAHy2PQw=")</f>
        <v>#REF!</v>
      </c>
      <c r="N2" t="e">
        <f>IF(#REF!,"AAAAAHy2PQ0=",0)</f>
        <v>#REF!</v>
      </c>
      <c r="O2" t="e">
        <f>AND(#REF!,"AAAAAHy2PQ4=")</f>
        <v>#REF!</v>
      </c>
      <c r="P2" t="e">
        <f>AND(#REF!,"AAAAAHy2PQ8=")</f>
        <v>#REF!</v>
      </c>
      <c r="Q2" t="e">
        <f>AND(#REF!,"AAAAAHy2PRA=")</f>
        <v>#REF!</v>
      </c>
      <c r="R2" t="e">
        <f>AND(#REF!,"AAAAAHy2PRE=")</f>
        <v>#REF!</v>
      </c>
      <c r="S2" t="e">
        <f>IF(#REF!,"AAAAAHy2PRI=",0)</f>
        <v>#REF!</v>
      </c>
      <c r="T2" t="e">
        <f>AND(#REF!,"AAAAAHy2PRM=")</f>
        <v>#REF!</v>
      </c>
      <c r="U2" t="e">
        <f>AND(#REF!,"AAAAAHy2PRQ=")</f>
        <v>#REF!</v>
      </c>
      <c r="V2" t="e">
        <f>AND(#REF!,"AAAAAHy2PRU=")</f>
        <v>#REF!</v>
      </c>
      <c r="W2" t="e">
        <f>AND(#REF!,"AAAAAHy2PRY=")</f>
        <v>#REF!</v>
      </c>
      <c r="X2" t="e">
        <f>IF(#REF!,"AAAAAHy2PRc=",0)</f>
        <v>#REF!</v>
      </c>
      <c r="Y2" t="e">
        <f>AND(#REF!,"AAAAAHy2PRg=")</f>
        <v>#REF!</v>
      </c>
      <c r="Z2" t="e">
        <f>AND(#REF!,"AAAAAHy2PRk=")</f>
        <v>#REF!</v>
      </c>
      <c r="AA2" t="e">
        <f>AND(#REF!,"AAAAAHy2PRo=")</f>
        <v>#REF!</v>
      </c>
      <c r="AB2" t="e">
        <f>AND(#REF!,"AAAAAHy2PRs=")</f>
        <v>#REF!</v>
      </c>
      <c r="AC2" t="e">
        <f>IF(#REF!,"AAAAAHy2PRw=",0)</f>
        <v>#REF!</v>
      </c>
      <c r="AD2" t="e">
        <f>AND(#REF!,"AAAAAHy2PR0=")</f>
        <v>#REF!</v>
      </c>
      <c r="AE2" t="e">
        <f>AND(#REF!,"AAAAAHy2PR4=")</f>
        <v>#REF!</v>
      </c>
      <c r="AF2" t="e">
        <f>AND(#REF!,"AAAAAHy2PR8=")</f>
        <v>#REF!</v>
      </c>
      <c r="AG2" t="e">
        <f>AND(#REF!,"AAAAAHy2PSA=")</f>
        <v>#REF!</v>
      </c>
      <c r="AH2" t="e">
        <f>IF(#REF!,"AAAAAHy2PSE=",0)</f>
        <v>#REF!</v>
      </c>
      <c r="AI2" t="e">
        <f>AND(#REF!,"AAAAAHy2PSI=")</f>
        <v>#REF!</v>
      </c>
      <c r="AJ2" t="e">
        <f>AND(#REF!,"AAAAAHy2PSM=")</f>
        <v>#REF!</v>
      </c>
      <c r="AK2" t="e">
        <f>AND(#REF!,"AAAAAHy2PSQ=")</f>
        <v>#REF!</v>
      </c>
      <c r="AL2" t="e">
        <f>AND(#REF!,"AAAAAHy2PSU=")</f>
        <v>#REF!</v>
      </c>
      <c r="AM2" t="e">
        <f>IF(#REF!,"AAAAAHy2PSY=",0)</f>
        <v>#REF!</v>
      </c>
      <c r="AN2" t="e">
        <f>AND(#REF!,"AAAAAHy2PSc=")</f>
        <v>#REF!</v>
      </c>
      <c r="AO2" t="e">
        <f>AND(#REF!,"AAAAAHy2PSg=")</f>
        <v>#REF!</v>
      </c>
      <c r="AP2" t="e">
        <f>AND(#REF!,"AAAAAHy2PSk=")</f>
        <v>#REF!</v>
      </c>
      <c r="AQ2" t="e">
        <f>AND(#REF!,"AAAAAHy2PSo=")</f>
        <v>#REF!</v>
      </c>
      <c r="AR2" t="e">
        <f>IF(#REF!,"AAAAAHy2PSs=",0)</f>
        <v>#REF!</v>
      </c>
      <c r="AS2" t="e">
        <f>AND(#REF!,"AAAAAHy2PSw=")</f>
        <v>#REF!</v>
      </c>
      <c r="AT2" t="e">
        <f>AND(#REF!,"AAAAAHy2PS0=")</f>
        <v>#REF!</v>
      </c>
      <c r="AU2" t="e">
        <f>AND(#REF!,"AAAAAHy2PS4=")</f>
        <v>#REF!</v>
      </c>
      <c r="AV2" t="e">
        <f>AND(#REF!,"AAAAAHy2PS8=")</f>
        <v>#REF!</v>
      </c>
      <c r="AW2" t="e">
        <f>IF(#REF!,"AAAAAHy2PTA=",0)</f>
        <v>#REF!</v>
      </c>
      <c r="AX2" t="e">
        <f>AND(#REF!,"AAAAAHy2PTE=")</f>
        <v>#REF!</v>
      </c>
      <c r="AY2" t="e">
        <f>AND(#REF!,"AAAAAHy2PTI=")</f>
        <v>#REF!</v>
      </c>
      <c r="AZ2" t="e">
        <f>AND(#REF!,"AAAAAHy2PTM=")</f>
        <v>#REF!</v>
      </c>
      <c r="BA2" t="e">
        <f>AND(#REF!,"AAAAAHy2PTQ=")</f>
        <v>#REF!</v>
      </c>
      <c r="BB2" t="e">
        <f>IF(#REF!,"AAAAAHy2PTU=",0)</f>
        <v>#REF!</v>
      </c>
      <c r="BC2" t="e">
        <f>AND(#REF!,"AAAAAHy2PTY=")</f>
        <v>#REF!</v>
      </c>
      <c r="BD2" t="e">
        <f>AND(#REF!,"AAAAAHy2PTc=")</f>
        <v>#REF!</v>
      </c>
      <c r="BE2" t="e">
        <f>AND(#REF!,"AAAAAHy2PTg=")</f>
        <v>#REF!</v>
      </c>
      <c r="BF2" t="e">
        <f>AND(#REF!,"AAAAAHy2PTk=")</f>
        <v>#REF!</v>
      </c>
      <c r="BG2" t="e">
        <f>IF(#REF!,"AAAAAHy2PTo=",0)</f>
        <v>#REF!</v>
      </c>
      <c r="BH2" t="e">
        <f>AND(#REF!,"AAAAAHy2PTs=")</f>
        <v>#REF!</v>
      </c>
      <c r="BI2" t="e">
        <f>AND(#REF!,"AAAAAHy2PTw=")</f>
        <v>#REF!</v>
      </c>
      <c r="BJ2" t="e">
        <f>AND(#REF!,"AAAAAHy2PT0=")</f>
        <v>#REF!</v>
      </c>
      <c r="BK2" t="e">
        <f>AND(#REF!,"AAAAAHy2PT4=")</f>
        <v>#REF!</v>
      </c>
      <c r="BL2" t="e">
        <f>IF(#REF!,"AAAAAHy2PT8=",0)</f>
        <v>#REF!</v>
      </c>
      <c r="BM2" t="e">
        <f>AND(#REF!,"AAAAAHy2PUA=")</f>
        <v>#REF!</v>
      </c>
      <c r="BN2" t="e">
        <f>AND(#REF!,"AAAAAHy2PUE=")</f>
        <v>#REF!</v>
      </c>
      <c r="BO2" t="e">
        <f>AND(#REF!,"AAAAAHy2PUI=")</f>
        <v>#REF!</v>
      </c>
      <c r="BP2" t="e">
        <f>AND(#REF!,"AAAAAHy2PUM=")</f>
        <v>#REF!</v>
      </c>
      <c r="BQ2" t="e">
        <f>IF(#REF!,"AAAAAHy2PUQ=",0)</f>
        <v>#REF!</v>
      </c>
      <c r="BR2" t="e">
        <f>AND(#REF!,"AAAAAHy2PUU=")</f>
        <v>#REF!</v>
      </c>
      <c r="BS2" t="e">
        <f>AND(#REF!,"AAAAAHy2PUY=")</f>
        <v>#REF!</v>
      </c>
      <c r="BT2" t="e">
        <f>AND(#REF!,"AAAAAHy2PUc=")</f>
        <v>#REF!</v>
      </c>
      <c r="BU2" t="e">
        <f>AND(#REF!,"AAAAAHy2PUg=")</f>
        <v>#REF!</v>
      </c>
      <c r="BV2" t="e">
        <f>IF(#REF!,"AAAAAHy2PUk=",0)</f>
        <v>#REF!</v>
      </c>
      <c r="BW2" t="e">
        <f>AND(#REF!,"AAAAAHy2PUo=")</f>
        <v>#REF!</v>
      </c>
      <c r="BX2" t="e">
        <f>AND(#REF!,"AAAAAHy2PUs=")</f>
        <v>#REF!</v>
      </c>
      <c r="BY2" t="e">
        <f>AND(#REF!,"AAAAAHy2PUw=")</f>
        <v>#REF!</v>
      </c>
      <c r="BZ2" t="e">
        <f>AND(#REF!,"AAAAAHy2PU0=")</f>
        <v>#REF!</v>
      </c>
      <c r="CA2" t="e">
        <f>IF(#REF!,"AAAAAHy2PU4=",0)</f>
        <v>#REF!</v>
      </c>
      <c r="CB2" t="e">
        <f>AND(#REF!,"AAAAAHy2PU8=")</f>
        <v>#REF!</v>
      </c>
      <c r="CC2" t="e">
        <f>AND(#REF!,"AAAAAHy2PVA=")</f>
        <v>#REF!</v>
      </c>
      <c r="CD2" t="e">
        <f>AND(#REF!,"AAAAAHy2PVE=")</f>
        <v>#REF!</v>
      </c>
      <c r="CE2" t="e">
        <f>AND(#REF!,"AAAAAHy2PVI=")</f>
        <v>#REF!</v>
      </c>
      <c r="CF2" t="e">
        <f>IF(#REF!,"AAAAAHy2PVM=",0)</f>
        <v>#REF!</v>
      </c>
      <c r="CG2" t="e">
        <f>AND(#REF!,"AAAAAHy2PVQ=")</f>
        <v>#REF!</v>
      </c>
      <c r="CH2" t="e">
        <f>AND(#REF!,"AAAAAHy2PVU=")</f>
        <v>#REF!</v>
      </c>
      <c r="CI2" t="e">
        <f>AND(#REF!,"AAAAAHy2PVY=")</f>
        <v>#REF!</v>
      </c>
      <c r="CJ2" t="e">
        <f>AND(#REF!,"AAAAAHy2PVc=")</f>
        <v>#REF!</v>
      </c>
      <c r="CK2" t="e">
        <f>IF(#REF!,"AAAAAHy2PVg=",0)</f>
        <v>#REF!</v>
      </c>
      <c r="CL2" t="e">
        <f>AND(#REF!,"AAAAAHy2PVk=")</f>
        <v>#REF!</v>
      </c>
      <c r="CM2" t="e">
        <f>AND(#REF!,"AAAAAHy2PVo=")</f>
        <v>#REF!</v>
      </c>
      <c r="CN2" t="e">
        <f>AND(#REF!,"AAAAAHy2PVs=")</f>
        <v>#REF!</v>
      </c>
      <c r="CO2" t="e">
        <f>AND(#REF!,"AAAAAHy2PVw=")</f>
        <v>#REF!</v>
      </c>
      <c r="CP2" t="e">
        <f>IF(#REF!,"AAAAAHy2PV0=",0)</f>
        <v>#REF!</v>
      </c>
      <c r="CQ2" t="e">
        <f>AND(#REF!,"AAAAAHy2PV4=")</f>
        <v>#REF!</v>
      </c>
      <c r="CR2" t="e">
        <f>AND(#REF!,"AAAAAHy2PV8=")</f>
        <v>#REF!</v>
      </c>
      <c r="CS2" t="e">
        <f>AND(#REF!,"AAAAAHy2PWA=")</f>
        <v>#REF!</v>
      </c>
      <c r="CT2" t="e">
        <f>AND(#REF!,"AAAAAHy2PWE=")</f>
        <v>#REF!</v>
      </c>
      <c r="CU2" t="e">
        <f>IF(#REF!,"AAAAAHy2PWI=",0)</f>
        <v>#REF!</v>
      </c>
      <c r="CV2" t="e">
        <f>AND(#REF!,"AAAAAHy2PWM=")</f>
        <v>#REF!</v>
      </c>
      <c r="CW2" t="e">
        <f>AND(#REF!,"AAAAAHy2PWQ=")</f>
        <v>#REF!</v>
      </c>
      <c r="CX2" t="e">
        <f>AND(#REF!,"AAAAAHy2PWU=")</f>
        <v>#REF!</v>
      </c>
      <c r="CY2" t="e">
        <f>AND(#REF!,"AAAAAHy2PWY=")</f>
        <v>#REF!</v>
      </c>
      <c r="CZ2" t="e">
        <f>IF(#REF!,"AAAAAHy2PWc=",0)</f>
        <v>#REF!</v>
      </c>
      <c r="DA2" t="e">
        <f>AND(#REF!,"AAAAAHy2PWg=")</f>
        <v>#REF!</v>
      </c>
      <c r="DB2" t="e">
        <f>AND(#REF!,"AAAAAHy2PWk=")</f>
        <v>#REF!</v>
      </c>
      <c r="DC2" t="e">
        <f>AND(#REF!,"AAAAAHy2PWo=")</f>
        <v>#REF!</v>
      </c>
      <c r="DD2" t="e">
        <f>AND(#REF!,"AAAAAHy2PWs=")</f>
        <v>#REF!</v>
      </c>
      <c r="DE2" t="e">
        <f>IF(#REF!,"AAAAAHy2PWw=",0)</f>
        <v>#REF!</v>
      </c>
      <c r="DF2" t="e">
        <f>AND(#REF!,"AAAAAHy2PW0=")</f>
        <v>#REF!</v>
      </c>
      <c r="DG2" t="e">
        <f>AND(#REF!,"AAAAAHy2PW4=")</f>
        <v>#REF!</v>
      </c>
      <c r="DH2" t="e">
        <f>AND(#REF!,"AAAAAHy2PW8=")</f>
        <v>#REF!</v>
      </c>
      <c r="DI2" t="e">
        <f>AND(#REF!,"AAAAAHy2PXA=")</f>
        <v>#REF!</v>
      </c>
      <c r="DJ2" t="e">
        <f>IF(#REF!,"AAAAAHy2PXE=",0)</f>
        <v>#REF!</v>
      </c>
      <c r="DK2" t="e">
        <f>IF(#REF!,"AAAAAHy2PXI=",0)</f>
        <v>#REF!</v>
      </c>
      <c r="DL2" t="e">
        <f>IF(#REF!,"AAAAAHy2PXM=",0)</f>
        <v>#REF!</v>
      </c>
      <c r="DM2" t="e">
        <f>IF(#REF!,"AAAAAHy2PXQ=",0)</f>
        <v>#REF!</v>
      </c>
      <c r="DN2" t="e">
        <f>IF(#REF!,"AAAAAHy2PXU=",0)</f>
        <v>#REF!</v>
      </c>
      <c r="DO2" t="e">
        <f>AND(#REF!,"AAAAAHy2PXY=")</f>
        <v>#REF!</v>
      </c>
      <c r="DP2" t="e">
        <f>AND(#REF!,"AAAAAHy2PXc=")</f>
        <v>#REF!</v>
      </c>
      <c r="DQ2" t="e">
        <f>AND(#REF!,"AAAAAHy2PXg=")</f>
        <v>#REF!</v>
      </c>
      <c r="DR2" t="e">
        <f>AND(#REF!,"AAAAAHy2PXk=")</f>
        <v>#REF!</v>
      </c>
      <c r="DS2" t="e">
        <f>IF(#REF!,"AAAAAHy2PXo=",0)</f>
        <v>#REF!</v>
      </c>
      <c r="DT2" t="e">
        <f>AND(#REF!,"AAAAAHy2PXs=")</f>
        <v>#REF!</v>
      </c>
      <c r="DU2" t="e">
        <f>AND(#REF!,"AAAAAHy2PXw=")</f>
        <v>#REF!</v>
      </c>
      <c r="DV2" t="e">
        <f>AND(#REF!,"AAAAAHy2PX0=")</f>
        <v>#REF!</v>
      </c>
      <c r="DW2" t="e">
        <f>AND(#REF!,"AAAAAHy2PX4=")</f>
        <v>#REF!</v>
      </c>
      <c r="DX2" t="e">
        <f>IF(#REF!,"AAAAAHy2PX8=",0)</f>
        <v>#REF!</v>
      </c>
      <c r="DY2" t="e">
        <f>AND(#REF!,"AAAAAHy2PYA=")</f>
        <v>#REF!</v>
      </c>
      <c r="DZ2" t="e">
        <f>AND(#REF!,"AAAAAHy2PYE=")</f>
        <v>#REF!</v>
      </c>
      <c r="EA2" t="e">
        <f>AND(#REF!,"AAAAAHy2PYI=")</f>
        <v>#REF!</v>
      </c>
      <c r="EB2" t="e">
        <f>AND(#REF!,"AAAAAHy2PYM=")</f>
        <v>#REF!</v>
      </c>
      <c r="EC2" t="e">
        <f>IF(#REF!,"AAAAAHy2PYQ=",0)</f>
        <v>#REF!</v>
      </c>
      <c r="ED2" t="e">
        <f>AND(#REF!,"AAAAAHy2PYU=")</f>
        <v>#REF!</v>
      </c>
      <c r="EE2" t="e">
        <f>IF(#REF!,"AAAAAHy2PYY=",0)</f>
        <v>#REF!</v>
      </c>
      <c r="EF2" t="e">
        <f>AND(#REF!,"AAAAAHy2PYc=")</f>
        <v>#REF!</v>
      </c>
      <c r="EG2" t="e">
        <f>IF(#REF!,"AAAAAHy2PYg=",0)</f>
        <v>#REF!</v>
      </c>
      <c r="EH2" t="e">
        <f>AND(#REF!,"AAAAAHy2PYk=")</f>
        <v>#REF!</v>
      </c>
      <c r="EI2" t="e">
        <f>IF(#REF!,"AAAAAHy2PYo=",0)</f>
        <v>#REF!</v>
      </c>
      <c r="EJ2" t="e">
        <f>AND(#REF!,"AAAAAHy2PYs=")</f>
        <v>#REF!</v>
      </c>
      <c r="EK2" t="e">
        <f>IF(#REF!,"AAAAAHy2PYw=",0)</f>
        <v>#REF!</v>
      </c>
      <c r="EL2" t="e">
        <f>AND(#REF!,"AAAAAHy2PY0=")</f>
        <v>#REF!</v>
      </c>
      <c r="EM2" t="e">
        <f>IF(#REF!,"AAAAAHy2PY4=",0)</f>
        <v>#REF!</v>
      </c>
      <c r="EN2" t="e">
        <f>AND(#REF!,"AAAAAHy2PY8=")</f>
        <v>#REF!</v>
      </c>
      <c r="EO2" t="e">
        <f>IF(#REF!,"AAAAAHy2PZA=",0)</f>
        <v>#REF!</v>
      </c>
      <c r="EP2" t="e">
        <f>AND(#REF!,"AAAAAHy2PZE=")</f>
        <v>#REF!</v>
      </c>
      <c r="EQ2" t="e">
        <f>IF(#REF!,"AAAAAHy2PZI=",0)</f>
        <v>#REF!</v>
      </c>
      <c r="ER2" t="e">
        <f>AND(#REF!,"AAAAAHy2PZM=")</f>
        <v>#REF!</v>
      </c>
      <c r="ES2" t="e">
        <f>IF(#REF!,"AAAAAHy2PZQ=",0)</f>
        <v>#REF!</v>
      </c>
      <c r="ET2" t="e">
        <f>AND(#REF!,"AAAAAHy2PZU=")</f>
        <v>#REF!</v>
      </c>
      <c r="EU2" t="e">
        <f>IF(#REF!,"AAAAAHy2PZY=",0)</f>
        <v>#REF!</v>
      </c>
      <c r="EV2" t="e">
        <f>AND(#REF!,"AAAAAHy2PZc=")</f>
        <v>#REF!</v>
      </c>
      <c r="EW2" t="e">
        <f>IF(#REF!,"AAAAAHy2PZg=",0)</f>
        <v>#REF!</v>
      </c>
      <c r="EX2" t="e">
        <f>AND(#REF!,"AAAAAHy2PZk=")</f>
        <v>#REF!</v>
      </c>
      <c r="EY2" t="e">
        <f>IF(#REF!,"AAAAAHy2PZo=",0)</f>
        <v>#REF!</v>
      </c>
      <c r="EZ2" t="e">
        <f>AND(#REF!,"AAAAAHy2PZs=")</f>
        <v>#REF!</v>
      </c>
      <c r="FA2" t="e">
        <f>IF(#REF!,"AAAAAHy2PZw=",0)</f>
        <v>#REF!</v>
      </c>
      <c r="FB2" t="e">
        <f>AND(#REF!,"AAAAAHy2PZ0=")</f>
        <v>#REF!</v>
      </c>
      <c r="FC2" t="e">
        <f>IF(#REF!,"AAAAAHy2PZ4=",0)</f>
        <v>#REF!</v>
      </c>
      <c r="FD2" t="e">
        <f>AND(#REF!,"AAAAAHy2PZ8=")</f>
        <v>#REF!</v>
      </c>
      <c r="FE2" t="e">
        <f>IF(#REF!,"AAAAAHy2PaA=",0)</f>
        <v>#REF!</v>
      </c>
      <c r="FF2" t="e">
        <f>AND(#REF!,"AAAAAHy2PaE=")</f>
        <v>#REF!</v>
      </c>
      <c r="FG2" t="e">
        <f>IF(#REF!,"AAAAAHy2PaI=",0)</f>
        <v>#REF!</v>
      </c>
      <c r="FH2" t="e">
        <f>AND(#REF!,"AAAAAHy2PaM=")</f>
        <v>#REF!</v>
      </c>
      <c r="FI2" t="e">
        <f>IF(#REF!,"AAAAAHy2PaQ=",0)</f>
        <v>#REF!</v>
      </c>
      <c r="FJ2" t="e">
        <f>IF(#REF!,"AAAAAHy2PaU=",0)</f>
        <v>#REF!</v>
      </c>
      <c r="FK2" t="e">
        <f>IF(#REF!,"AAAAAHy2PaY=",0)</f>
        <v>#REF!</v>
      </c>
      <c r="FL2" t="e">
        <f>IF(#REF!,"AAAAAHy2Pac=",0)</f>
        <v>#REF!</v>
      </c>
      <c r="FM2" t="e">
        <f>IF(#REF!,"AAAAAHy2Pag=",0)</f>
        <v>#REF!</v>
      </c>
      <c r="FN2" t="e">
        <f>AND(#REF!,"AAAAAHy2Pak=")</f>
        <v>#REF!</v>
      </c>
      <c r="FO2" t="e">
        <f>AND(#REF!,"AAAAAHy2Pao=")</f>
        <v>#REF!</v>
      </c>
      <c r="FP2" t="e">
        <f>AND(#REF!,"AAAAAHy2Pas=")</f>
        <v>#REF!</v>
      </c>
      <c r="FQ2" t="e">
        <f>AND(#REF!,"AAAAAHy2Paw=")</f>
        <v>#REF!</v>
      </c>
      <c r="FR2" t="e">
        <f>AND(#REF!,"AAAAAHy2Pa0=")</f>
        <v>#REF!</v>
      </c>
      <c r="FS2" t="e">
        <f>AND(#REF!,"AAAAAHy2Pa4=")</f>
        <v>#REF!</v>
      </c>
      <c r="FT2" t="e">
        <f>AND(#REF!,"AAAAAHy2Pa8=")</f>
        <v>#REF!</v>
      </c>
      <c r="FU2" t="e">
        <f>AND(#REF!,"AAAAAHy2PbA=")</f>
        <v>#REF!</v>
      </c>
      <c r="FV2" t="e">
        <f>IF(#REF!,"AAAAAHy2PbE=",0)</f>
        <v>#REF!</v>
      </c>
      <c r="FW2" t="e">
        <f>AND(#REF!,"AAAAAHy2PbI=")</f>
        <v>#REF!</v>
      </c>
      <c r="FX2" t="e">
        <f>AND(#REF!,"AAAAAHy2PbM=")</f>
        <v>#REF!</v>
      </c>
      <c r="FY2" t="e">
        <f>AND(#REF!,"AAAAAHy2PbQ=")</f>
        <v>#REF!</v>
      </c>
      <c r="FZ2" t="e">
        <f>AND(#REF!,"AAAAAHy2PbU=")</f>
        <v>#REF!</v>
      </c>
      <c r="GA2" t="e">
        <f>AND(#REF!,"AAAAAHy2PbY=")</f>
        <v>#REF!</v>
      </c>
      <c r="GB2" t="e">
        <f>AND(#REF!,"AAAAAHy2Pbc=")</f>
        <v>#REF!</v>
      </c>
      <c r="GC2" t="e">
        <f>AND(#REF!,"AAAAAHy2Pbg=")</f>
        <v>#REF!</v>
      </c>
      <c r="GD2" t="e">
        <f>AND(#REF!,"AAAAAHy2Pbk=")</f>
        <v>#REF!</v>
      </c>
      <c r="GE2" t="e">
        <f>IF(#REF!,"AAAAAHy2Pbo=",0)</f>
        <v>#REF!</v>
      </c>
      <c r="GF2" t="e">
        <f>AND(#REF!,"AAAAAHy2Pbs=")</f>
        <v>#REF!</v>
      </c>
      <c r="GG2" t="e">
        <f>AND(#REF!,"AAAAAHy2Pbw=")</f>
        <v>#REF!</v>
      </c>
      <c r="GH2" t="e">
        <f>AND(#REF!,"AAAAAHy2Pb0=")</f>
        <v>#REF!</v>
      </c>
      <c r="GI2" t="e">
        <f>AND(#REF!,"AAAAAHy2Pb4=")</f>
        <v>#REF!</v>
      </c>
      <c r="GJ2" t="e">
        <f>AND(#REF!,"AAAAAHy2Pb8=")</f>
        <v>#REF!</v>
      </c>
      <c r="GK2" t="e">
        <f>AND(#REF!,"AAAAAHy2PcA=")</f>
        <v>#REF!</v>
      </c>
      <c r="GL2" t="e">
        <f>AND(#REF!,"AAAAAHy2PcE=")</f>
        <v>#REF!</v>
      </c>
      <c r="GM2" t="e">
        <f>AND(#REF!,"AAAAAHy2PcI=")</f>
        <v>#REF!</v>
      </c>
      <c r="GN2" t="e">
        <f>IF(#REF!,"AAAAAHy2PcM=",0)</f>
        <v>#REF!</v>
      </c>
      <c r="GO2" t="e">
        <f>AND(#REF!,"AAAAAHy2PcQ=")</f>
        <v>#REF!</v>
      </c>
      <c r="GP2" t="e">
        <f>AND(#REF!,"AAAAAHy2PcU=")</f>
        <v>#REF!</v>
      </c>
      <c r="GQ2" t="e">
        <f>AND(#REF!,"AAAAAHy2PcY=")</f>
        <v>#REF!</v>
      </c>
      <c r="GR2" t="e">
        <f>AND(#REF!,"AAAAAHy2Pcc=")</f>
        <v>#REF!</v>
      </c>
      <c r="GS2" t="e">
        <f>AND(#REF!,"AAAAAHy2Pcg=")</f>
        <v>#REF!</v>
      </c>
      <c r="GT2" t="e">
        <f>AND(#REF!,"AAAAAHy2Pck=")</f>
        <v>#REF!</v>
      </c>
      <c r="GU2" t="e">
        <f>AND(#REF!,"AAAAAHy2Pco=")</f>
        <v>#REF!</v>
      </c>
      <c r="GV2" t="e">
        <f>AND(#REF!,"AAAAAHy2Pcs=")</f>
        <v>#REF!</v>
      </c>
      <c r="GW2" t="e">
        <f>IF(#REF!,"AAAAAHy2Pcw=",0)</f>
        <v>#REF!</v>
      </c>
      <c r="GX2" t="e">
        <f>AND(#REF!,"AAAAAHy2Pc0=")</f>
        <v>#REF!</v>
      </c>
      <c r="GY2" t="e">
        <f>AND(#REF!,"AAAAAHy2Pc4=")</f>
        <v>#REF!</v>
      </c>
      <c r="GZ2" t="e">
        <f>AND(#REF!,"AAAAAHy2Pc8=")</f>
        <v>#REF!</v>
      </c>
      <c r="HA2" t="e">
        <f>AND(#REF!,"AAAAAHy2PdA=")</f>
        <v>#REF!</v>
      </c>
      <c r="HB2" t="e">
        <f>AND(#REF!,"AAAAAHy2PdE=")</f>
        <v>#REF!</v>
      </c>
      <c r="HC2" t="e">
        <f>AND(#REF!,"AAAAAHy2PdI=")</f>
        <v>#REF!</v>
      </c>
      <c r="HD2" t="e">
        <f>AND(#REF!,"AAAAAHy2PdM=")</f>
        <v>#REF!</v>
      </c>
      <c r="HE2" t="e">
        <f>AND(#REF!,"AAAAAHy2PdQ=")</f>
        <v>#REF!</v>
      </c>
      <c r="HF2" t="e">
        <f>IF(#REF!,"AAAAAHy2PdU=",0)</f>
        <v>#REF!</v>
      </c>
      <c r="HG2" t="e">
        <f>AND(#REF!,"AAAAAHy2PdY=")</f>
        <v>#REF!</v>
      </c>
      <c r="HH2" t="e">
        <f>AND(#REF!,"AAAAAHy2Pdc=")</f>
        <v>#REF!</v>
      </c>
      <c r="HI2" t="e">
        <f>AND(#REF!,"AAAAAHy2Pdg=")</f>
        <v>#REF!</v>
      </c>
      <c r="HJ2" t="e">
        <f>AND(#REF!,"AAAAAHy2Pdk=")</f>
        <v>#REF!</v>
      </c>
      <c r="HK2" t="e">
        <f>AND(#REF!,"AAAAAHy2Pdo=")</f>
        <v>#REF!</v>
      </c>
      <c r="HL2" t="e">
        <f>AND(#REF!,"AAAAAHy2Pds=")</f>
        <v>#REF!</v>
      </c>
      <c r="HM2" t="e">
        <f>AND(#REF!,"AAAAAHy2Pdw=")</f>
        <v>#REF!</v>
      </c>
      <c r="HN2" t="e">
        <f>AND(#REF!,"AAAAAHy2Pd0=")</f>
        <v>#REF!</v>
      </c>
      <c r="HO2" t="e">
        <f>IF(#REF!,"AAAAAHy2Pd4=",0)</f>
        <v>#REF!</v>
      </c>
      <c r="HP2" t="e">
        <f>AND(#REF!,"AAAAAHy2Pd8=")</f>
        <v>#REF!</v>
      </c>
      <c r="HQ2" t="e">
        <f>AND(#REF!,"AAAAAHy2PeA=")</f>
        <v>#REF!</v>
      </c>
      <c r="HR2" t="e">
        <f>AND(#REF!,"AAAAAHy2PeE=")</f>
        <v>#REF!</v>
      </c>
      <c r="HS2" t="e">
        <f>AND(#REF!,"AAAAAHy2PeI=")</f>
        <v>#REF!</v>
      </c>
      <c r="HT2" t="e">
        <f>AND(#REF!,"AAAAAHy2PeM=")</f>
        <v>#REF!</v>
      </c>
      <c r="HU2" t="e">
        <f>AND(#REF!,"AAAAAHy2PeQ=")</f>
        <v>#REF!</v>
      </c>
      <c r="HV2" t="e">
        <f>AND(#REF!,"AAAAAHy2PeU=")</f>
        <v>#REF!</v>
      </c>
      <c r="HW2" t="e">
        <f>AND(#REF!,"AAAAAHy2PeY=")</f>
        <v>#REF!</v>
      </c>
      <c r="HX2" t="e">
        <f>IF(#REF!,"AAAAAHy2Pec=",0)</f>
        <v>#REF!</v>
      </c>
      <c r="HY2" t="e">
        <f>AND(#REF!,"AAAAAHy2Peg=")</f>
        <v>#REF!</v>
      </c>
      <c r="HZ2" t="e">
        <f>AND(#REF!,"AAAAAHy2Pek=")</f>
        <v>#REF!</v>
      </c>
      <c r="IA2" t="e">
        <f>AND(#REF!,"AAAAAHy2Peo=")</f>
        <v>#REF!</v>
      </c>
      <c r="IB2" t="e">
        <f>AND(#REF!,"AAAAAHy2Pes=")</f>
        <v>#REF!</v>
      </c>
      <c r="IC2" t="e">
        <f>AND(#REF!,"AAAAAHy2Pew=")</f>
        <v>#REF!</v>
      </c>
      <c r="ID2" t="e">
        <f>AND(#REF!,"AAAAAHy2Pe0=")</f>
        <v>#REF!</v>
      </c>
      <c r="IE2" t="e">
        <f>AND(#REF!,"AAAAAHy2Pe4=")</f>
        <v>#REF!</v>
      </c>
      <c r="IF2" t="e">
        <f>AND(#REF!,"AAAAAHy2Pe8=")</f>
        <v>#REF!</v>
      </c>
      <c r="IG2" t="e">
        <f>IF(#REF!,"AAAAAHy2PfA=",0)</f>
        <v>#REF!</v>
      </c>
      <c r="IH2" t="e">
        <f>AND(#REF!,"AAAAAHy2PfE=")</f>
        <v>#REF!</v>
      </c>
      <c r="II2" t="e">
        <f>AND(#REF!,"AAAAAHy2PfI=")</f>
        <v>#REF!</v>
      </c>
      <c r="IJ2" t="e">
        <f>AND(#REF!,"AAAAAHy2PfM=")</f>
        <v>#REF!</v>
      </c>
      <c r="IK2" t="e">
        <f>AND(#REF!,"AAAAAHy2PfQ=")</f>
        <v>#REF!</v>
      </c>
      <c r="IL2" t="e">
        <f>AND(#REF!,"AAAAAHy2PfU=")</f>
        <v>#REF!</v>
      </c>
      <c r="IM2" t="e">
        <f>AND(#REF!,"AAAAAHy2PfY=")</f>
        <v>#REF!</v>
      </c>
      <c r="IN2" t="e">
        <f>AND(#REF!,"AAAAAHy2Pfc=")</f>
        <v>#REF!</v>
      </c>
      <c r="IO2" t="e">
        <f>AND(#REF!,"AAAAAHy2Pfg=")</f>
        <v>#REF!</v>
      </c>
      <c r="IP2" t="e">
        <f>IF(#REF!,"AAAAAHy2Pfk=",0)</f>
        <v>#REF!</v>
      </c>
      <c r="IQ2" t="e">
        <f>AND(#REF!,"AAAAAHy2Pfo=")</f>
        <v>#REF!</v>
      </c>
      <c r="IR2" t="e">
        <f>AND(#REF!,"AAAAAHy2Pfs=")</f>
        <v>#REF!</v>
      </c>
      <c r="IS2" t="e">
        <f>AND(#REF!,"AAAAAHy2Pfw=")</f>
        <v>#REF!</v>
      </c>
      <c r="IT2" t="e">
        <f>AND(#REF!,"AAAAAHy2Pf0=")</f>
        <v>#REF!</v>
      </c>
      <c r="IU2" t="e">
        <f>AND(#REF!,"AAAAAHy2Pf4=")</f>
        <v>#REF!</v>
      </c>
      <c r="IV2" t="e">
        <f>AND(#REF!,"AAAAAHy2Pf8=")</f>
        <v>#REF!</v>
      </c>
    </row>
    <row r="3" spans="1:256" x14ac:dyDescent="0.25">
      <c r="A3" t="e">
        <f>AND(#REF!,"AAAAAF+0/wA=")</f>
        <v>#REF!</v>
      </c>
      <c r="B3" t="e">
        <f>AND(#REF!,"AAAAAF+0/wE=")</f>
        <v>#REF!</v>
      </c>
      <c r="C3" t="e">
        <f>IF(#REF!,"AAAAAF+0/wI=",0)</f>
        <v>#REF!</v>
      </c>
      <c r="D3" t="e">
        <f>AND(#REF!,"AAAAAF+0/wM=")</f>
        <v>#REF!</v>
      </c>
      <c r="E3" t="e">
        <f>AND(#REF!,"AAAAAF+0/wQ=")</f>
        <v>#REF!</v>
      </c>
      <c r="F3" t="e">
        <f>AND(#REF!,"AAAAAF+0/wU=")</f>
        <v>#REF!</v>
      </c>
      <c r="G3" t="e">
        <f>AND(#REF!,"AAAAAF+0/wY=")</f>
        <v>#REF!</v>
      </c>
      <c r="H3" t="e">
        <f>AND(#REF!,"AAAAAF+0/wc=")</f>
        <v>#REF!</v>
      </c>
      <c r="I3" t="e">
        <f>AND(#REF!,"AAAAAF+0/wg=")</f>
        <v>#REF!</v>
      </c>
      <c r="J3" t="e">
        <f>AND(#REF!,"AAAAAF+0/wk=")</f>
        <v>#REF!</v>
      </c>
      <c r="K3" t="e">
        <f>AND(#REF!,"AAAAAF+0/wo=")</f>
        <v>#REF!</v>
      </c>
      <c r="L3" t="e">
        <f>IF(#REF!,"AAAAAF+0/ws=",0)</f>
        <v>#REF!</v>
      </c>
      <c r="M3" t="e">
        <f>AND(#REF!,"AAAAAF+0/ww=")</f>
        <v>#REF!</v>
      </c>
      <c r="N3" t="e">
        <f>AND(#REF!,"AAAAAF+0/w0=")</f>
        <v>#REF!</v>
      </c>
      <c r="O3" t="e">
        <f>AND(#REF!,"AAAAAF+0/w4=")</f>
        <v>#REF!</v>
      </c>
      <c r="P3" t="e">
        <f>AND(#REF!,"AAAAAF+0/w8=")</f>
        <v>#REF!</v>
      </c>
      <c r="Q3" t="e">
        <f>AND(#REF!,"AAAAAF+0/xA=")</f>
        <v>#REF!</v>
      </c>
      <c r="R3" t="e">
        <f>AND(#REF!,"AAAAAF+0/xE=")</f>
        <v>#REF!</v>
      </c>
      <c r="S3" t="e">
        <f>AND(#REF!,"AAAAAF+0/xI=")</f>
        <v>#REF!</v>
      </c>
      <c r="T3" t="e">
        <f>AND(#REF!,"AAAAAF+0/xM=")</f>
        <v>#REF!</v>
      </c>
      <c r="U3" t="e">
        <f>IF(#REF!,"AAAAAF+0/xQ=",0)</f>
        <v>#REF!</v>
      </c>
      <c r="V3" t="e">
        <f>AND(#REF!,"AAAAAF+0/xU=")</f>
        <v>#REF!</v>
      </c>
      <c r="W3" t="e">
        <f>AND(#REF!,"AAAAAF+0/xY=")</f>
        <v>#REF!</v>
      </c>
      <c r="X3" t="e">
        <f>AND(#REF!,"AAAAAF+0/xc=")</f>
        <v>#REF!</v>
      </c>
      <c r="Y3" t="e">
        <f>AND(#REF!,"AAAAAF+0/xg=")</f>
        <v>#REF!</v>
      </c>
      <c r="Z3" t="e">
        <f>AND(#REF!,"AAAAAF+0/xk=")</f>
        <v>#REF!</v>
      </c>
      <c r="AA3" t="e">
        <f>AND(#REF!,"AAAAAF+0/xo=")</f>
        <v>#REF!</v>
      </c>
      <c r="AB3" t="e">
        <f>AND(#REF!,"AAAAAF+0/xs=")</f>
        <v>#REF!</v>
      </c>
      <c r="AC3" t="e">
        <f>AND(#REF!,"AAAAAF+0/xw=")</f>
        <v>#REF!</v>
      </c>
      <c r="AD3" t="e">
        <f>IF(#REF!,"AAAAAF+0/x0=",0)</f>
        <v>#REF!</v>
      </c>
      <c r="AE3" t="e">
        <f>AND(#REF!,"AAAAAF+0/x4=")</f>
        <v>#REF!</v>
      </c>
      <c r="AF3" t="e">
        <f>AND(#REF!,"AAAAAF+0/x8=")</f>
        <v>#REF!</v>
      </c>
      <c r="AG3" t="e">
        <f>AND(#REF!,"AAAAAF+0/yA=")</f>
        <v>#REF!</v>
      </c>
      <c r="AH3" t="e">
        <f>AND(#REF!,"AAAAAF+0/yE=")</f>
        <v>#REF!</v>
      </c>
      <c r="AI3" t="e">
        <f>AND(#REF!,"AAAAAF+0/yI=")</f>
        <v>#REF!</v>
      </c>
      <c r="AJ3" t="e">
        <f>AND(#REF!,"AAAAAF+0/yM=")</f>
        <v>#REF!</v>
      </c>
      <c r="AK3" t="e">
        <f>AND(#REF!,"AAAAAF+0/yQ=")</f>
        <v>#REF!</v>
      </c>
      <c r="AL3" t="e">
        <f>AND(#REF!,"AAAAAF+0/yU=")</f>
        <v>#REF!</v>
      </c>
      <c r="AM3" t="e">
        <f>IF(#REF!,"AAAAAF+0/yY=",0)</f>
        <v>#REF!</v>
      </c>
      <c r="AN3" t="e">
        <f>AND(#REF!,"AAAAAF+0/yc=")</f>
        <v>#REF!</v>
      </c>
      <c r="AO3" t="e">
        <f>AND(#REF!,"AAAAAF+0/yg=")</f>
        <v>#REF!</v>
      </c>
      <c r="AP3" t="e">
        <f>AND(#REF!,"AAAAAF+0/yk=")</f>
        <v>#REF!</v>
      </c>
      <c r="AQ3" t="e">
        <f>AND(#REF!,"AAAAAF+0/yo=")</f>
        <v>#REF!</v>
      </c>
      <c r="AR3" t="e">
        <f>AND(#REF!,"AAAAAF+0/ys=")</f>
        <v>#REF!</v>
      </c>
      <c r="AS3" t="e">
        <f>AND(#REF!,"AAAAAF+0/yw=")</f>
        <v>#REF!</v>
      </c>
      <c r="AT3" t="e">
        <f>AND(#REF!,"AAAAAF+0/y0=")</f>
        <v>#REF!</v>
      </c>
      <c r="AU3" t="e">
        <f>AND(#REF!,"AAAAAF+0/y4=")</f>
        <v>#REF!</v>
      </c>
      <c r="AV3" t="e">
        <f>IF(#REF!,"AAAAAF+0/y8=",0)</f>
        <v>#REF!</v>
      </c>
      <c r="AW3" t="e">
        <f>AND(#REF!,"AAAAAF+0/zA=")</f>
        <v>#REF!</v>
      </c>
      <c r="AX3" t="e">
        <f>AND(#REF!,"AAAAAF+0/zE=")</f>
        <v>#REF!</v>
      </c>
      <c r="AY3" t="e">
        <f>AND(#REF!,"AAAAAF+0/zI=")</f>
        <v>#REF!</v>
      </c>
      <c r="AZ3" t="e">
        <f>AND(#REF!,"AAAAAF+0/zM=")</f>
        <v>#REF!</v>
      </c>
      <c r="BA3" t="e">
        <f>AND(#REF!,"AAAAAF+0/zQ=")</f>
        <v>#REF!</v>
      </c>
      <c r="BB3" t="e">
        <f>AND(#REF!,"AAAAAF+0/zU=")</f>
        <v>#REF!</v>
      </c>
      <c r="BC3" t="e">
        <f>AND(#REF!,"AAAAAF+0/zY=")</f>
        <v>#REF!</v>
      </c>
      <c r="BD3" t="e">
        <f>AND(#REF!,"AAAAAF+0/zc=")</f>
        <v>#REF!</v>
      </c>
      <c r="BE3" t="e">
        <f>IF(#REF!,"AAAAAF+0/zg=",0)</f>
        <v>#REF!</v>
      </c>
      <c r="BF3" t="e">
        <f>AND(#REF!,"AAAAAF+0/zk=")</f>
        <v>#REF!</v>
      </c>
      <c r="BG3" t="e">
        <f>AND(#REF!,"AAAAAF+0/zo=")</f>
        <v>#REF!</v>
      </c>
      <c r="BH3" t="e">
        <f>AND(#REF!,"AAAAAF+0/zs=")</f>
        <v>#REF!</v>
      </c>
      <c r="BI3" t="e">
        <f>AND(#REF!,"AAAAAF+0/zw=")</f>
        <v>#REF!</v>
      </c>
      <c r="BJ3" t="e">
        <f>AND(#REF!,"AAAAAF+0/z0=")</f>
        <v>#REF!</v>
      </c>
      <c r="BK3" t="e">
        <f>AND(#REF!,"AAAAAF+0/z4=")</f>
        <v>#REF!</v>
      </c>
      <c r="BL3" t="e">
        <f>AND(#REF!,"AAAAAF+0/z8=")</f>
        <v>#REF!</v>
      </c>
      <c r="BM3" t="e">
        <f>AND(#REF!,"AAAAAF+0/0A=")</f>
        <v>#REF!</v>
      </c>
      <c r="BN3" t="e">
        <f>IF(#REF!,"AAAAAF+0/0E=",0)</f>
        <v>#REF!</v>
      </c>
      <c r="BO3" t="e">
        <f>AND(#REF!,"AAAAAF+0/0I=")</f>
        <v>#REF!</v>
      </c>
      <c r="BP3" t="e">
        <f>AND(#REF!,"AAAAAF+0/0M=")</f>
        <v>#REF!</v>
      </c>
      <c r="BQ3" t="e">
        <f>AND(#REF!,"AAAAAF+0/0Q=")</f>
        <v>#REF!</v>
      </c>
      <c r="BR3" t="e">
        <f>AND(#REF!,"AAAAAF+0/0U=")</f>
        <v>#REF!</v>
      </c>
      <c r="BS3" t="e">
        <f>AND(#REF!,"AAAAAF+0/0Y=")</f>
        <v>#REF!</v>
      </c>
      <c r="BT3" t="e">
        <f>AND(#REF!,"AAAAAF+0/0c=")</f>
        <v>#REF!</v>
      </c>
      <c r="BU3" t="e">
        <f>AND(#REF!,"AAAAAF+0/0g=")</f>
        <v>#REF!</v>
      </c>
      <c r="BV3" t="e">
        <f>AND(#REF!,"AAAAAF+0/0k=")</f>
        <v>#REF!</v>
      </c>
      <c r="BW3" t="e">
        <f>IF(#REF!,"AAAAAF+0/0o=",0)</f>
        <v>#REF!</v>
      </c>
      <c r="BX3" t="e">
        <f>AND(#REF!,"AAAAAF+0/0s=")</f>
        <v>#REF!</v>
      </c>
      <c r="BY3" t="e">
        <f>AND(#REF!,"AAAAAF+0/0w=")</f>
        <v>#REF!</v>
      </c>
      <c r="BZ3" t="e">
        <f>AND(#REF!,"AAAAAF+0/00=")</f>
        <v>#REF!</v>
      </c>
      <c r="CA3" t="e">
        <f>AND(#REF!,"AAAAAF+0/04=")</f>
        <v>#REF!</v>
      </c>
      <c r="CB3" t="e">
        <f>AND(#REF!,"AAAAAF+0/08=")</f>
        <v>#REF!</v>
      </c>
      <c r="CC3" t="e">
        <f>AND(#REF!,"AAAAAF+0/1A=")</f>
        <v>#REF!</v>
      </c>
      <c r="CD3" t="e">
        <f>AND(#REF!,"AAAAAF+0/1E=")</f>
        <v>#REF!</v>
      </c>
      <c r="CE3" t="e">
        <f>AND(#REF!,"AAAAAF+0/1I=")</f>
        <v>#REF!</v>
      </c>
      <c r="CF3" t="e">
        <f>IF(#REF!,"AAAAAF+0/1M=",0)</f>
        <v>#REF!</v>
      </c>
      <c r="CG3" t="e">
        <f>AND(#REF!,"AAAAAF+0/1Q=")</f>
        <v>#REF!</v>
      </c>
      <c r="CH3" t="e">
        <f>AND(#REF!,"AAAAAF+0/1U=")</f>
        <v>#REF!</v>
      </c>
      <c r="CI3" t="e">
        <f>AND(#REF!,"AAAAAF+0/1Y=")</f>
        <v>#REF!</v>
      </c>
      <c r="CJ3" t="e">
        <f>AND(#REF!,"AAAAAF+0/1c=")</f>
        <v>#REF!</v>
      </c>
      <c r="CK3" t="e">
        <f>AND(#REF!,"AAAAAF+0/1g=")</f>
        <v>#REF!</v>
      </c>
      <c r="CL3" t="e">
        <f>AND(#REF!,"AAAAAF+0/1k=")</f>
        <v>#REF!</v>
      </c>
      <c r="CM3" t="e">
        <f>AND(#REF!,"AAAAAF+0/1o=")</f>
        <v>#REF!</v>
      </c>
      <c r="CN3" t="e">
        <f>AND(#REF!,"AAAAAF+0/1s=")</f>
        <v>#REF!</v>
      </c>
      <c r="CO3" t="e">
        <f>IF(#REF!,"AAAAAF+0/1w=",0)</f>
        <v>#REF!</v>
      </c>
      <c r="CP3" t="e">
        <f>AND(#REF!,"AAAAAF+0/10=")</f>
        <v>#REF!</v>
      </c>
      <c r="CQ3" t="e">
        <f>AND(#REF!,"AAAAAF+0/14=")</f>
        <v>#REF!</v>
      </c>
      <c r="CR3" t="e">
        <f>AND(#REF!,"AAAAAF+0/18=")</f>
        <v>#REF!</v>
      </c>
      <c r="CS3" t="e">
        <f>AND(#REF!,"AAAAAF+0/2A=")</f>
        <v>#REF!</v>
      </c>
      <c r="CT3" t="e">
        <f>AND(#REF!,"AAAAAF+0/2E=")</f>
        <v>#REF!</v>
      </c>
      <c r="CU3" t="e">
        <f>AND(#REF!,"AAAAAF+0/2I=")</f>
        <v>#REF!</v>
      </c>
      <c r="CV3" t="e">
        <f>AND(#REF!,"AAAAAF+0/2M=")</f>
        <v>#REF!</v>
      </c>
      <c r="CW3" t="e">
        <f>AND(#REF!,"AAAAAF+0/2Q=")</f>
        <v>#REF!</v>
      </c>
      <c r="CX3" t="e">
        <f>IF(#REF!,"AAAAAF+0/2U=",0)</f>
        <v>#REF!</v>
      </c>
      <c r="CY3" t="e">
        <f>AND(#REF!,"AAAAAF+0/2Y=")</f>
        <v>#REF!</v>
      </c>
      <c r="CZ3" t="e">
        <f>AND(#REF!,"AAAAAF+0/2c=")</f>
        <v>#REF!</v>
      </c>
      <c r="DA3" t="e">
        <f>AND(#REF!,"AAAAAF+0/2g=")</f>
        <v>#REF!</v>
      </c>
      <c r="DB3" t="e">
        <f>AND(#REF!,"AAAAAF+0/2k=")</f>
        <v>#REF!</v>
      </c>
      <c r="DC3" t="e">
        <f>AND(#REF!,"AAAAAF+0/2o=")</f>
        <v>#REF!</v>
      </c>
      <c r="DD3" t="e">
        <f>AND(#REF!,"AAAAAF+0/2s=")</f>
        <v>#REF!</v>
      </c>
      <c r="DE3" t="e">
        <f>AND(#REF!,"AAAAAF+0/2w=")</f>
        <v>#REF!</v>
      </c>
      <c r="DF3" t="e">
        <f>AND(#REF!,"AAAAAF+0/20=")</f>
        <v>#REF!</v>
      </c>
      <c r="DG3" t="e">
        <f>IF(#REF!,"AAAAAF+0/24=",0)</f>
        <v>#REF!</v>
      </c>
      <c r="DH3" t="e">
        <f>AND(#REF!,"AAAAAF+0/28=")</f>
        <v>#REF!</v>
      </c>
      <c r="DI3" t="e">
        <f>AND(#REF!,"AAAAAF+0/3A=")</f>
        <v>#REF!</v>
      </c>
      <c r="DJ3" t="e">
        <f>AND(#REF!,"AAAAAF+0/3E=")</f>
        <v>#REF!</v>
      </c>
      <c r="DK3" t="e">
        <f>AND(#REF!,"AAAAAF+0/3I=")</f>
        <v>#REF!</v>
      </c>
      <c r="DL3" t="e">
        <f>AND(#REF!,"AAAAAF+0/3M=")</f>
        <v>#REF!</v>
      </c>
      <c r="DM3" t="e">
        <f>AND(#REF!,"AAAAAF+0/3Q=")</f>
        <v>#REF!</v>
      </c>
      <c r="DN3" t="e">
        <f>AND(#REF!,"AAAAAF+0/3U=")</f>
        <v>#REF!</v>
      </c>
      <c r="DO3" t="e">
        <f>AND(#REF!,"AAAAAF+0/3Y=")</f>
        <v>#REF!</v>
      </c>
      <c r="DP3" t="e">
        <f>IF(#REF!,"AAAAAF+0/3c=",0)</f>
        <v>#REF!</v>
      </c>
      <c r="DQ3" t="e">
        <f>AND(#REF!,"AAAAAF+0/3g=")</f>
        <v>#REF!</v>
      </c>
      <c r="DR3" t="e">
        <f>AND(#REF!,"AAAAAF+0/3k=")</f>
        <v>#REF!</v>
      </c>
      <c r="DS3" t="e">
        <f>AND(#REF!,"AAAAAF+0/3o=")</f>
        <v>#REF!</v>
      </c>
      <c r="DT3" t="e">
        <f>AND(#REF!,"AAAAAF+0/3s=")</f>
        <v>#REF!</v>
      </c>
      <c r="DU3" t="e">
        <f>AND(#REF!,"AAAAAF+0/3w=")</f>
        <v>#REF!</v>
      </c>
      <c r="DV3" t="e">
        <f>AND(#REF!,"AAAAAF+0/30=")</f>
        <v>#REF!</v>
      </c>
      <c r="DW3" t="e">
        <f>AND(#REF!,"AAAAAF+0/34=")</f>
        <v>#REF!</v>
      </c>
      <c r="DX3" t="e">
        <f>AND(#REF!,"AAAAAF+0/38=")</f>
        <v>#REF!</v>
      </c>
      <c r="DY3" t="e">
        <f>IF(#REF!,"AAAAAF+0/4A=",0)</f>
        <v>#REF!</v>
      </c>
      <c r="DZ3" t="e">
        <f>AND(#REF!,"AAAAAF+0/4E=")</f>
        <v>#REF!</v>
      </c>
      <c r="EA3" t="e">
        <f>AND(#REF!,"AAAAAF+0/4I=")</f>
        <v>#REF!</v>
      </c>
      <c r="EB3" t="e">
        <f>AND(#REF!,"AAAAAF+0/4M=")</f>
        <v>#REF!</v>
      </c>
      <c r="EC3" t="e">
        <f>AND(#REF!,"AAAAAF+0/4Q=")</f>
        <v>#REF!</v>
      </c>
      <c r="ED3" t="e">
        <f>AND(#REF!,"AAAAAF+0/4U=")</f>
        <v>#REF!</v>
      </c>
      <c r="EE3" t="e">
        <f>AND(#REF!,"AAAAAF+0/4Y=")</f>
        <v>#REF!</v>
      </c>
      <c r="EF3" t="e">
        <f>AND(#REF!,"AAAAAF+0/4c=")</f>
        <v>#REF!</v>
      </c>
      <c r="EG3" t="e">
        <f>AND(#REF!,"AAAAAF+0/4g=")</f>
        <v>#REF!</v>
      </c>
      <c r="EH3" t="e">
        <f>IF(#REF!,"AAAAAF+0/4k=",0)</f>
        <v>#REF!</v>
      </c>
      <c r="EI3" t="e">
        <f>AND(#REF!,"AAAAAF+0/4o=")</f>
        <v>#REF!</v>
      </c>
      <c r="EJ3" t="e">
        <f>AND(#REF!,"AAAAAF+0/4s=")</f>
        <v>#REF!</v>
      </c>
      <c r="EK3" t="e">
        <f>AND(#REF!,"AAAAAF+0/4w=")</f>
        <v>#REF!</v>
      </c>
      <c r="EL3" t="e">
        <f>AND(#REF!,"AAAAAF+0/40=")</f>
        <v>#REF!</v>
      </c>
      <c r="EM3" t="e">
        <f>AND(#REF!,"AAAAAF+0/44=")</f>
        <v>#REF!</v>
      </c>
      <c r="EN3" t="e">
        <f>AND(#REF!,"AAAAAF+0/48=")</f>
        <v>#REF!</v>
      </c>
      <c r="EO3" t="e">
        <f>AND(#REF!,"AAAAAF+0/5A=")</f>
        <v>#REF!</v>
      </c>
      <c r="EP3" t="e">
        <f>AND(#REF!,"AAAAAF+0/5E=")</f>
        <v>#REF!</v>
      </c>
      <c r="EQ3" t="e">
        <f>IF(#REF!,"AAAAAF+0/5I=",0)</f>
        <v>#REF!</v>
      </c>
      <c r="ER3" t="e">
        <f>AND(#REF!,"AAAAAF+0/5M=")</f>
        <v>#REF!</v>
      </c>
      <c r="ES3" t="e">
        <f>AND(#REF!,"AAAAAF+0/5Q=")</f>
        <v>#REF!</v>
      </c>
      <c r="ET3" t="e">
        <f>AND(#REF!,"AAAAAF+0/5U=")</f>
        <v>#REF!</v>
      </c>
      <c r="EU3" t="e">
        <f>AND(#REF!,"AAAAAF+0/5Y=")</f>
        <v>#REF!</v>
      </c>
      <c r="EV3" t="e">
        <f>AND(#REF!,"AAAAAF+0/5c=")</f>
        <v>#REF!</v>
      </c>
      <c r="EW3" t="e">
        <f>AND(#REF!,"AAAAAF+0/5g=")</f>
        <v>#REF!</v>
      </c>
      <c r="EX3" t="e">
        <f>AND(#REF!,"AAAAAF+0/5k=")</f>
        <v>#REF!</v>
      </c>
      <c r="EY3" t="e">
        <f>AND(#REF!,"AAAAAF+0/5o=")</f>
        <v>#REF!</v>
      </c>
      <c r="EZ3" t="e">
        <f>IF(#REF!,"AAAAAF+0/5s=",0)</f>
        <v>#REF!</v>
      </c>
      <c r="FA3" t="e">
        <f>AND(#REF!,"AAAAAF+0/5w=")</f>
        <v>#REF!</v>
      </c>
      <c r="FB3" t="e">
        <f>AND(#REF!,"AAAAAF+0/50=")</f>
        <v>#REF!</v>
      </c>
      <c r="FC3" t="e">
        <f>AND(#REF!,"AAAAAF+0/54=")</f>
        <v>#REF!</v>
      </c>
      <c r="FD3" t="e">
        <f>AND(#REF!,"AAAAAF+0/58=")</f>
        <v>#REF!</v>
      </c>
      <c r="FE3" t="e">
        <f>AND(#REF!,"AAAAAF+0/6A=")</f>
        <v>#REF!</v>
      </c>
      <c r="FF3" t="e">
        <f>AND(#REF!,"AAAAAF+0/6E=")</f>
        <v>#REF!</v>
      </c>
      <c r="FG3" t="e">
        <f>AND(#REF!,"AAAAAF+0/6I=")</f>
        <v>#REF!</v>
      </c>
      <c r="FH3" t="e">
        <f>AND(#REF!,"AAAAAF+0/6M=")</f>
        <v>#REF!</v>
      </c>
      <c r="FI3" t="e">
        <f>IF(#REF!,"AAAAAF+0/6Q=",0)</f>
        <v>#REF!</v>
      </c>
      <c r="FJ3" t="e">
        <f>AND(#REF!,"AAAAAF+0/6U=")</f>
        <v>#REF!</v>
      </c>
      <c r="FK3" t="e">
        <f>AND(#REF!,"AAAAAF+0/6Y=")</f>
        <v>#REF!</v>
      </c>
      <c r="FL3" t="e">
        <f>AND(#REF!,"AAAAAF+0/6c=")</f>
        <v>#REF!</v>
      </c>
      <c r="FM3" t="e">
        <f>AND(#REF!,"AAAAAF+0/6g=")</f>
        <v>#REF!</v>
      </c>
      <c r="FN3" t="e">
        <f>AND(#REF!,"AAAAAF+0/6k=")</f>
        <v>#REF!</v>
      </c>
      <c r="FO3" t="e">
        <f>AND(#REF!,"AAAAAF+0/6o=")</f>
        <v>#REF!</v>
      </c>
      <c r="FP3" t="e">
        <f>AND(#REF!,"AAAAAF+0/6s=")</f>
        <v>#REF!</v>
      </c>
      <c r="FQ3" t="e">
        <f>AND(#REF!,"AAAAAF+0/6w=")</f>
        <v>#REF!</v>
      </c>
      <c r="FR3" t="e">
        <f>IF(#REF!,"AAAAAF+0/60=",0)</f>
        <v>#REF!</v>
      </c>
      <c r="FS3" t="e">
        <f>AND(#REF!,"AAAAAF+0/64=")</f>
        <v>#REF!</v>
      </c>
      <c r="FT3" t="e">
        <f>AND(#REF!,"AAAAAF+0/68=")</f>
        <v>#REF!</v>
      </c>
      <c r="FU3" t="e">
        <f>AND(#REF!,"AAAAAF+0/7A=")</f>
        <v>#REF!</v>
      </c>
      <c r="FV3" t="e">
        <f>AND(#REF!,"AAAAAF+0/7E=")</f>
        <v>#REF!</v>
      </c>
      <c r="FW3" t="e">
        <f>AND(#REF!,"AAAAAF+0/7I=")</f>
        <v>#REF!</v>
      </c>
      <c r="FX3" t="e">
        <f>AND(#REF!,"AAAAAF+0/7M=")</f>
        <v>#REF!</v>
      </c>
      <c r="FY3" t="e">
        <f>AND(#REF!,"AAAAAF+0/7Q=")</f>
        <v>#REF!</v>
      </c>
      <c r="FZ3" t="e">
        <f>AND(#REF!,"AAAAAF+0/7U=")</f>
        <v>#REF!</v>
      </c>
      <c r="GA3" t="e">
        <f>IF(#REF!,"AAAAAF+0/7Y=",0)</f>
        <v>#REF!</v>
      </c>
      <c r="GB3" t="e">
        <f>AND(#REF!,"AAAAAF+0/7c=")</f>
        <v>#REF!</v>
      </c>
      <c r="GC3" t="e">
        <f>AND(#REF!,"AAAAAF+0/7g=")</f>
        <v>#REF!</v>
      </c>
      <c r="GD3" t="e">
        <f>AND(#REF!,"AAAAAF+0/7k=")</f>
        <v>#REF!</v>
      </c>
      <c r="GE3" t="e">
        <f>AND(#REF!,"AAAAAF+0/7o=")</f>
        <v>#REF!</v>
      </c>
      <c r="GF3" t="e">
        <f>AND(#REF!,"AAAAAF+0/7s=")</f>
        <v>#REF!</v>
      </c>
      <c r="GG3" t="e">
        <f>AND(#REF!,"AAAAAF+0/7w=")</f>
        <v>#REF!</v>
      </c>
      <c r="GH3" t="e">
        <f>AND(#REF!,"AAAAAF+0/70=")</f>
        <v>#REF!</v>
      </c>
      <c r="GI3" t="e">
        <f>AND(#REF!,"AAAAAF+0/74=")</f>
        <v>#REF!</v>
      </c>
      <c r="GJ3" t="e">
        <f>IF(#REF!,"AAAAAF+0/78=",0)</f>
        <v>#REF!</v>
      </c>
      <c r="GK3" t="e">
        <f>AND(#REF!,"AAAAAF+0/8A=")</f>
        <v>#REF!</v>
      </c>
      <c r="GL3" t="e">
        <f>AND(#REF!,"AAAAAF+0/8E=")</f>
        <v>#REF!</v>
      </c>
      <c r="GM3" t="e">
        <f>AND(#REF!,"AAAAAF+0/8I=")</f>
        <v>#REF!</v>
      </c>
      <c r="GN3" t="e">
        <f>AND(#REF!,"AAAAAF+0/8M=")</f>
        <v>#REF!</v>
      </c>
      <c r="GO3" t="e">
        <f>AND(#REF!,"AAAAAF+0/8Q=")</f>
        <v>#REF!</v>
      </c>
      <c r="GP3" t="e">
        <f>AND(#REF!,"AAAAAF+0/8U=")</f>
        <v>#REF!</v>
      </c>
      <c r="GQ3" t="e">
        <f>AND(#REF!,"AAAAAF+0/8Y=")</f>
        <v>#REF!</v>
      </c>
      <c r="GR3" t="e">
        <f>AND(#REF!,"AAAAAF+0/8c=")</f>
        <v>#REF!</v>
      </c>
      <c r="GS3" t="e">
        <f>IF(#REF!,"AAAAAF+0/8g=",0)</f>
        <v>#REF!</v>
      </c>
      <c r="GT3" t="e">
        <f>AND(#REF!,"AAAAAF+0/8k=")</f>
        <v>#REF!</v>
      </c>
      <c r="GU3" t="e">
        <f>AND(#REF!,"AAAAAF+0/8o=")</f>
        <v>#REF!</v>
      </c>
      <c r="GV3" t="e">
        <f>AND(#REF!,"AAAAAF+0/8s=")</f>
        <v>#REF!</v>
      </c>
      <c r="GW3" t="e">
        <f>AND(#REF!,"AAAAAF+0/8w=")</f>
        <v>#REF!</v>
      </c>
      <c r="GX3" t="e">
        <f>AND(#REF!,"AAAAAF+0/80=")</f>
        <v>#REF!</v>
      </c>
      <c r="GY3" t="e">
        <f>AND(#REF!,"AAAAAF+0/84=")</f>
        <v>#REF!</v>
      </c>
      <c r="GZ3" t="e">
        <f>AND(#REF!,"AAAAAF+0/88=")</f>
        <v>#REF!</v>
      </c>
      <c r="HA3" t="e">
        <f>AND(#REF!,"AAAAAF+0/9A=")</f>
        <v>#REF!</v>
      </c>
      <c r="HB3" t="e">
        <f>IF(#REF!,"AAAAAF+0/9E=",0)</f>
        <v>#REF!</v>
      </c>
      <c r="HC3" t="e">
        <f>AND(#REF!,"AAAAAF+0/9I=")</f>
        <v>#REF!</v>
      </c>
      <c r="HD3" t="e">
        <f>AND(#REF!,"AAAAAF+0/9M=")</f>
        <v>#REF!</v>
      </c>
      <c r="HE3" t="e">
        <f>AND(#REF!,"AAAAAF+0/9Q=")</f>
        <v>#REF!</v>
      </c>
      <c r="HF3" t="e">
        <f>AND(#REF!,"AAAAAF+0/9U=")</f>
        <v>#REF!</v>
      </c>
      <c r="HG3" t="e">
        <f>AND(#REF!,"AAAAAF+0/9Y=")</f>
        <v>#REF!</v>
      </c>
      <c r="HH3" t="e">
        <f>AND(#REF!,"AAAAAF+0/9c=")</f>
        <v>#REF!</v>
      </c>
      <c r="HI3" t="e">
        <f>AND(#REF!,"AAAAAF+0/9g=")</f>
        <v>#REF!</v>
      </c>
      <c r="HJ3" t="e">
        <f>AND(#REF!,"AAAAAF+0/9k=")</f>
        <v>#REF!</v>
      </c>
      <c r="HK3" t="e">
        <f>IF(#REF!,"AAAAAF+0/9o=",0)</f>
        <v>#REF!</v>
      </c>
      <c r="HL3" t="e">
        <f>AND(#REF!,"AAAAAF+0/9s=")</f>
        <v>#REF!</v>
      </c>
      <c r="HM3" t="e">
        <f>AND(#REF!,"AAAAAF+0/9w=")</f>
        <v>#REF!</v>
      </c>
      <c r="HN3" t="e">
        <f>AND(#REF!,"AAAAAF+0/90=")</f>
        <v>#REF!</v>
      </c>
      <c r="HO3" t="e">
        <f>AND(#REF!,"AAAAAF+0/94=")</f>
        <v>#REF!</v>
      </c>
      <c r="HP3" t="e">
        <f>AND(#REF!,"AAAAAF+0/98=")</f>
        <v>#REF!</v>
      </c>
      <c r="HQ3" t="e">
        <f>AND(#REF!,"AAAAAF+0/+A=")</f>
        <v>#REF!</v>
      </c>
      <c r="HR3" t="e">
        <f>AND(#REF!,"AAAAAF+0/+E=")</f>
        <v>#REF!</v>
      </c>
      <c r="HS3" t="e">
        <f>AND(#REF!,"AAAAAF+0/+I=")</f>
        <v>#REF!</v>
      </c>
      <c r="HT3" t="e">
        <f>IF(#REF!,"AAAAAF+0/+M=",0)</f>
        <v>#REF!</v>
      </c>
      <c r="HU3" t="e">
        <f>AND(#REF!,"AAAAAF+0/+Q=")</f>
        <v>#REF!</v>
      </c>
      <c r="HV3" t="e">
        <f>AND(#REF!,"AAAAAF+0/+U=")</f>
        <v>#REF!</v>
      </c>
      <c r="HW3" t="e">
        <f>AND(#REF!,"AAAAAF+0/+Y=")</f>
        <v>#REF!</v>
      </c>
      <c r="HX3" t="e">
        <f>AND(#REF!,"AAAAAF+0/+c=")</f>
        <v>#REF!</v>
      </c>
      <c r="HY3" t="e">
        <f>AND(#REF!,"AAAAAF+0/+g=")</f>
        <v>#REF!</v>
      </c>
      <c r="HZ3" t="e">
        <f>AND(#REF!,"AAAAAF+0/+k=")</f>
        <v>#REF!</v>
      </c>
      <c r="IA3" t="e">
        <f>AND(#REF!,"AAAAAF+0/+o=")</f>
        <v>#REF!</v>
      </c>
      <c r="IB3" t="e">
        <f>AND(#REF!,"AAAAAF+0/+s=")</f>
        <v>#REF!</v>
      </c>
      <c r="IC3" t="e">
        <f>IF(#REF!,"AAAAAF+0/+w=",0)</f>
        <v>#REF!</v>
      </c>
      <c r="ID3" t="e">
        <f>AND(#REF!,"AAAAAF+0/+0=")</f>
        <v>#REF!</v>
      </c>
      <c r="IE3" t="e">
        <f>AND(#REF!,"AAAAAF+0/+4=")</f>
        <v>#REF!</v>
      </c>
      <c r="IF3" t="e">
        <f>AND(#REF!,"AAAAAF+0/+8=")</f>
        <v>#REF!</v>
      </c>
      <c r="IG3" t="e">
        <f>AND(#REF!,"AAAAAF+0//A=")</f>
        <v>#REF!</v>
      </c>
      <c r="IH3" t="e">
        <f>AND(#REF!,"AAAAAF+0//E=")</f>
        <v>#REF!</v>
      </c>
      <c r="II3" t="e">
        <f>AND(#REF!,"AAAAAF+0//I=")</f>
        <v>#REF!</v>
      </c>
      <c r="IJ3" t="e">
        <f>AND(#REF!,"AAAAAF+0//M=")</f>
        <v>#REF!</v>
      </c>
      <c r="IK3" t="e">
        <f>AND(#REF!,"AAAAAF+0//Q=")</f>
        <v>#REF!</v>
      </c>
      <c r="IL3" t="e">
        <f>IF(#REF!,"AAAAAF+0//U=",0)</f>
        <v>#REF!</v>
      </c>
      <c r="IM3" t="e">
        <f>AND(#REF!,"AAAAAF+0//Y=")</f>
        <v>#REF!</v>
      </c>
      <c r="IN3" t="e">
        <f>AND(#REF!,"AAAAAF+0//c=")</f>
        <v>#REF!</v>
      </c>
      <c r="IO3" t="e">
        <f>AND(#REF!,"AAAAAF+0//g=")</f>
        <v>#REF!</v>
      </c>
      <c r="IP3" t="e">
        <f>AND(#REF!,"AAAAAF+0//k=")</f>
        <v>#REF!</v>
      </c>
      <c r="IQ3" t="e">
        <f>AND(#REF!,"AAAAAF+0//o=")</f>
        <v>#REF!</v>
      </c>
      <c r="IR3" t="e">
        <f>AND(#REF!,"AAAAAF+0//s=")</f>
        <v>#REF!</v>
      </c>
      <c r="IS3" t="e">
        <f>AND(#REF!,"AAAAAF+0//w=")</f>
        <v>#REF!</v>
      </c>
      <c r="IT3" t="e">
        <f>AND(#REF!,"AAAAAF+0//0=")</f>
        <v>#REF!</v>
      </c>
      <c r="IU3" t="e">
        <f>IF(#REF!,"AAAAAF+0//4=",0)</f>
        <v>#REF!</v>
      </c>
      <c r="IV3" t="e">
        <f>AND(#REF!,"AAAAAF+0//8=")</f>
        <v>#REF!</v>
      </c>
    </row>
    <row r="4" spans="1:256" x14ac:dyDescent="0.25">
      <c r="A4" t="e">
        <f>AND(#REF!,"AAAAAG+jrQA=")</f>
        <v>#REF!</v>
      </c>
      <c r="B4" t="e">
        <f>AND(#REF!,"AAAAAG+jrQE=")</f>
        <v>#REF!</v>
      </c>
      <c r="C4" t="e">
        <f>AND(#REF!,"AAAAAG+jrQI=")</f>
        <v>#REF!</v>
      </c>
      <c r="D4" t="e">
        <f>AND(#REF!,"AAAAAG+jrQM=")</f>
        <v>#REF!</v>
      </c>
      <c r="E4" t="e">
        <f>AND(#REF!,"AAAAAG+jrQQ=")</f>
        <v>#REF!</v>
      </c>
      <c r="F4" t="e">
        <f>AND(#REF!,"AAAAAG+jrQU=")</f>
        <v>#REF!</v>
      </c>
      <c r="G4" t="e">
        <f>AND(#REF!,"AAAAAG+jrQY=")</f>
        <v>#REF!</v>
      </c>
      <c r="H4" t="e">
        <f>IF(#REF!,"AAAAAG+jrQc=",0)</f>
        <v>#REF!</v>
      </c>
      <c r="I4" t="e">
        <f>AND(#REF!,"AAAAAG+jrQg=")</f>
        <v>#REF!</v>
      </c>
      <c r="J4" t="e">
        <f>AND(#REF!,"AAAAAG+jrQk=")</f>
        <v>#REF!</v>
      </c>
      <c r="K4" t="e">
        <f>AND(#REF!,"AAAAAG+jrQo=")</f>
        <v>#REF!</v>
      </c>
      <c r="L4" t="e">
        <f>AND(#REF!,"AAAAAG+jrQs=")</f>
        <v>#REF!</v>
      </c>
      <c r="M4" t="e">
        <f>AND(#REF!,"AAAAAG+jrQw=")</f>
        <v>#REF!</v>
      </c>
      <c r="N4" t="e">
        <f>AND(#REF!,"AAAAAG+jrQ0=")</f>
        <v>#REF!</v>
      </c>
      <c r="O4" t="e">
        <f>AND(#REF!,"AAAAAG+jrQ4=")</f>
        <v>#REF!</v>
      </c>
      <c r="P4" t="e">
        <f>AND(#REF!,"AAAAAG+jrQ8=")</f>
        <v>#REF!</v>
      </c>
      <c r="Q4" t="e">
        <f>IF(#REF!,"AAAAAG+jrRA=",0)</f>
        <v>#REF!</v>
      </c>
      <c r="R4" t="e">
        <f>AND(#REF!,"AAAAAG+jrRE=")</f>
        <v>#REF!</v>
      </c>
      <c r="S4" t="e">
        <f>AND(#REF!,"AAAAAG+jrRI=")</f>
        <v>#REF!</v>
      </c>
      <c r="T4" t="e">
        <f>AND(#REF!,"AAAAAG+jrRM=")</f>
        <v>#REF!</v>
      </c>
      <c r="U4" t="e">
        <f>AND(#REF!,"AAAAAG+jrRQ=")</f>
        <v>#REF!</v>
      </c>
      <c r="V4" t="e">
        <f>AND(#REF!,"AAAAAG+jrRU=")</f>
        <v>#REF!</v>
      </c>
      <c r="W4" t="e">
        <f>AND(#REF!,"AAAAAG+jrRY=")</f>
        <v>#REF!</v>
      </c>
      <c r="X4" t="e">
        <f>AND(#REF!,"AAAAAG+jrRc=")</f>
        <v>#REF!</v>
      </c>
      <c r="Y4" t="e">
        <f>AND(#REF!,"AAAAAG+jrRg=")</f>
        <v>#REF!</v>
      </c>
      <c r="Z4" t="e">
        <f>IF(#REF!,"AAAAAG+jrRk=",0)</f>
        <v>#REF!</v>
      </c>
      <c r="AA4" t="e">
        <f>AND(#REF!,"AAAAAG+jrRo=")</f>
        <v>#REF!</v>
      </c>
      <c r="AB4" t="e">
        <f>AND(#REF!,"AAAAAG+jrRs=")</f>
        <v>#REF!</v>
      </c>
      <c r="AC4" t="e">
        <f>AND(#REF!,"AAAAAG+jrRw=")</f>
        <v>#REF!</v>
      </c>
      <c r="AD4" t="e">
        <f>AND(#REF!,"AAAAAG+jrR0=")</f>
        <v>#REF!</v>
      </c>
      <c r="AE4" t="e">
        <f>AND(#REF!,"AAAAAG+jrR4=")</f>
        <v>#REF!</v>
      </c>
      <c r="AF4" t="e">
        <f>AND(#REF!,"AAAAAG+jrR8=")</f>
        <v>#REF!</v>
      </c>
      <c r="AG4" t="e">
        <f>AND(#REF!,"AAAAAG+jrSA=")</f>
        <v>#REF!</v>
      </c>
      <c r="AH4" t="e">
        <f>AND(#REF!,"AAAAAG+jrSE=")</f>
        <v>#REF!</v>
      </c>
      <c r="AI4" t="e">
        <f>IF(#REF!,"AAAAAG+jrSI=",0)</f>
        <v>#REF!</v>
      </c>
      <c r="AJ4" t="e">
        <f>AND(#REF!,"AAAAAG+jrSM=")</f>
        <v>#REF!</v>
      </c>
      <c r="AK4" t="e">
        <f>AND(#REF!,"AAAAAG+jrSQ=")</f>
        <v>#REF!</v>
      </c>
      <c r="AL4" t="e">
        <f>AND(#REF!,"AAAAAG+jrSU=")</f>
        <v>#REF!</v>
      </c>
      <c r="AM4" t="e">
        <f>AND(#REF!,"AAAAAG+jrSY=")</f>
        <v>#REF!</v>
      </c>
      <c r="AN4" t="e">
        <f>AND(#REF!,"AAAAAG+jrSc=")</f>
        <v>#REF!</v>
      </c>
      <c r="AO4" t="e">
        <f>AND(#REF!,"AAAAAG+jrSg=")</f>
        <v>#REF!</v>
      </c>
      <c r="AP4" t="e">
        <f>AND(#REF!,"AAAAAG+jrSk=")</f>
        <v>#REF!</v>
      </c>
      <c r="AQ4" t="e">
        <f>AND(#REF!,"AAAAAG+jrSo=")</f>
        <v>#REF!</v>
      </c>
      <c r="AR4" t="e">
        <f>IF(#REF!,"AAAAAG+jrSs=",0)</f>
        <v>#REF!</v>
      </c>
      <c r="AS4" t="e">
        <f>AND(#REF!,"AAAAAG+jrSw=")</f>
        <v>#REF!</v>
      </c>
      <c r="AT4" t="e">
        <f>AND(#REF!,"AAAAAG+jrS0=")</f>
        <v>#REF!</v>
      </c>
      <c r="AU4" t="e">
        <f>AND(#REF!,"AAAAAG+jrS4=")</f>
        <v>#REF!</v>
      </c>
      <c r="AV4" t="e">
        <f>AND(#REF!,"AAAAAG+jrS8=")</f>
        <v>#REF!</v>
      </c>
      <c r="AW4" t="e">
        <f>AND(#REF!,"AAAAAG+jrTA=")</f>
        <v>#REF!</v>
      </c>
      <c r="AX4" t="e">
        <f>AND(#REF!,"AAAAAG+jrTE=")</f>
        <v>#REF!</v>
      </c>
      <c r="AY4" t="e">
        <f>AND(#REF!,"AAAAAG+jrTI=")</f>
        <v>#REF!</v>
      </c>
      <c r="AZ4" t="e">
        <f>AND(#REF!,"AAAAAG+jrTM=")</f>
        <v>#REF!</v>
      </c>
      <c r="BA4" t="e">
        <f>IF(#REF!,"AAAAAG+jrTQ=",0)</f>
        <v>#REF!</v>
      </c>
      <c r="BB4" t="e">
        <f>AND(#REF!,"AAAAAG+jrTU=")</f>
        <v>#REF!</v>
      </c>
      <c r="BC4" t="e">
        <f>AND(#REF!,"AAAAAG+jrTY=")</f>
        <v>#REF!</v>
      </c>
      <c r="BD4" t="e">
        <f>AND(#REF!,"AAAAAG+jrTc=")</f>
        <v>#REF!</v>
      </c>
      <c r="BE4" t="e">
        <f>AND(#REF!,"AAAAAG+jrTg=")</f>
        <v>#REF!</v>
      </c>
      <c r="BF4" t="e">
        <f>AND(#REF!,"AAAAAG+jrTk=")</f>
        <v>#REF!</v>
      </c>
      <c r="BG4" t="e">
        <f>AND(#REF!,"AAAAAG+jrTo=")</f>
        <v>#REF!</v>
      </c>
      <c r="BH4" t="e">
        <f>AND(#REF!,"AAAAAG+jrTs=")</f>
        <v>#REF!</v>
      </c>
      <c r="BI4" t="e">
        <f>AND(#REF!,"AAAAAG+jrTw=")</f>
        <v>#REF!</v>
      </c>
      <c r="BJ4" t="e">
        <f>IF(#REF!,"AAAAAG+jrT0=",0)</f>
        <v>#REF!</v>
      </c>
      <c r="BK4" t="e">
        <f>AND(#REF!,"AAAAAG+jrT4=")</f>
        <v>#REF!</v>
      </c>
      <c r="BL4" t="e">
        <f>AND(#REF!,"AAAAAG+jrT8=")</f>
        <v>#REF!</v>
      </c>
      <c r="BM4" t="e">
        <f>AND(#REF!,"AAAAAG+jrUA=")</f>
        <v>#REF!</v>
      </c>
      <c r="BN4" t="e">
        <f>AND(#REF!,"AAAAAG+jrUE=")</f>
        <v>#REF!</v>
      </c>
      <c r="BO4" t="e">
        <f>AND(#REF!,"AAAAAG+jrUI=")</f>
        <v>#REF!</v>
      </c>
      <c r="BP4" t="e">
        <f>AND(#REF!,"AAAAAG+jrUM=")</f>
        <v>#REF!</v>
      </c>
      <c r="BQ4" t="e">
        <f>AND(#REF!,"AAAAAG+jrUQ=")</f>
        <v>#REF!</v>
      </c>
      <c r="BR4" t="e">
        <f>AND(#REF!,"AAAAAG+jrUU=")</f>
        <v>#REF!</v>
      </c>
      <c r="BS4" t="e">
        <f>IF(#REF!,"AAAAAG+jrUY=",0)</f>
        <v>#REF!</v>
      </c>
      <c r="BT4" t="e">
        <f>AND(#REF!,"AAAAAG+jrUc=")</f>
        <v>#REF!</v>
      </c>
      <c r="BU4" t="e">
        <f>AND(#REF!,"AAAAAG+jrUg=")</f>
        <v>#REF!</v>
      </c>
      <c r="BV4" t="e">
        <f>AND(#REF!,"AAAAAG+jrUk=")</f>
        <v>#REF!</v>
      </c>
      <c r="BW4" t="e">
        <f>AND(#REF!,"AAAAAG+jrUo=")</f>
        <v>#REF!</v>
      </c>
      <c r="BX4" t="e">
        <f>AND(#REF!,"AAAAAG+jrUs=")</f>
        <v>#REF!</v>
      </c>
      <c r="BY4" t="e">
        <f>AND(#REF!,"AAAAAG+jrUw=")</f>
        <v>#REF!</v>
      </c>
      <c r="BZ4" t="e">
        <f>AND(#REF!,"AAAAAG+jrU0=")</f>
        <v>#REF!</v>
      </c>
      <c r="CA4" t="e">
        <f>AND(#REF!,"AAAAAG+jrU4=")</f>
        <v>#REF!</v>
      </c>
      <c r="CB4" t="e">
        <f>IF(#REF!,"AAAAAG+jrU8=",0)</f>
        <v>#REF!</v>
      </c>
      <c r="CC4" t="e">
        <f>AND(#REF!,"AAAAAG+jrVA=")</f>
        <v>#REF!</v>
      </c>
      <c r="CD4" t="e">
        <f>AND(#REF!,"AAAAAG+jrVE=")</f>
        <v>#REF!</v>
      </c>
      <c r="CE4" t="e">
        <f>AND(#REF!,"AAAAAG+jrVI=")</f>
        <v>#REF!</v>
      </c>
      <c r="CF4" t="e">
        <f>AND(#REF!,"AAAAAG+jrVM=")</f>
        <v>#REF!</v>
      </c>
      <c r="CG4" t="e">
        <f>AND(#REF!,"AAAAAG+jrVQ=")</f>
        <v>#REF!</v>
      </c>
      <c r="CH4" t="e">
        <f>AND(#REF!,"AAAAAG+jrVU=")</f>
        <v>#REF!</v>
      </c>
      <c r="CI4" t="e">
        <f>AND(#REF!,"AAAAAG+jrVY=")</f>
        <v>#REF!</v>
      </c>
      <c r="CJ4" t="e">
        <f>AND(#REF!,"AAAAAG+jrVc=")</f>
        <v>#REF!</v>
      </c>
      <c r="CK4" t="e">
        <f>IF(#REF!,"AAAAAG+jrVg=",0)</f>
        <v>#REF!</v>
      </c>
      <c r="CL4" t="e">
        <f>AND(#REF!,"AAAAAG+jrVk=")</f>
        <v>#REF!</v>
      </c>
      <c r="CM4" t="e">
        <f>AND(#REF!,"AAAAAG+jrVo=")</f>
        <v>#REF!</v>
      </c>
      <c r="CN4" t="e">
        <f>AND(#REF!,"AAAAAG+jrVs=")</f>
        <v>#REF!</v>
      </c>
      <c r="CO4" t="e">
        <f>AND(#REF!,"AAAAAG+jrVw=")</f>
        <v>#REF!</v>
      </c>
      <c r="CP4" t="e">
        <f>AND(#REF!,"AAAAAG+jrV0=")</f>
        <v>#REF!</v>
      </c>
      <c r="CQ4" t="e">
        <f>AND(#REF!,"AAAAAG+jrV4=")</f>
        <v>#REF!</v>
      </c>
      <c r="CR4" t="e">
        <f>AND(#REF!,"AAAAAG+jrV8=")</f>
        <v>#REF!</v>
      </c>
      <c r="CS4" t="e">
        <f>AND(#REF!,"AAAAAG+jrWA=")</f>
        <v>#REF!</v>
      </c>
      <c r="CT4" t="e">
        <f>IF(#REF!,"AAAAAG+jrWE=",0)</f>
        <v>#REF!</v>
      </c>
      <c r="CU4" t="e">
        <f>AND(#REF!,"AAAAAG+jrWI=")</f>
        <v>#REF!</v>
      </c>
      <c r="CV4" t="e">
        <f>AND(#REF!,"AAAAAG+jrWM=")</f>
        <v>#REF!</v>
      </c>
      <c r="CW4" t="e">
        <f>AND(#REF!,"AAAAAG+jrWQ=")</f>
        <v>#REF!</v>
      </c>
      <c r="CX4" t="e">
        <f>AND(#REF!,"AAAAAG+jrWU=")</f>
        <v>#REF!</v>
      </c>
      <c r="CY4" t="e">
        <f>AND(#REF!,"AAAAAG+jrWY=")</f>
        <v>#REF!</v>
      </c>
      <c r="CZ4" t="e">
        <f>AND(#REF!,"AAAAAG+jrWc=")</f>
        <v>#REF!</v>
      </c>
      <c r="DA4" t="e">
        <f>AND(#REF!,"AAAAAG+jrWg=")</f>
        <v>#REF!</v>
      </c>
      <c r="DB4" t="e">
        <f>AND(#REF!,"AAAAAG+jrWk=")</f>
        <v>#REF!</v>
      </c>
      <c r="DC4" t="e">
        <f>IF(#REF!,"AAAAAG+jrWo=",0)</f>
        <v>#REF!</v>
      </c>
      <c r="DD4" t="e">
        <f>AND(#REF!,"AAAAAG+jrWs=")</f>
        <v>#REF!</v>
      </c>
      <c r="DE4" t="e">
        <f>AND(#REF!,"AAAAAG+jrWw=")</f>
        <v>#REF!</v>
      </c>
      <c r="DF4" t="e">
        <f>AND(#REF!,"AAAAAG+jrW0=")</f>
        <v>#REF!</v>
      </c>
      <c r="DG4" t="e">
        <f>AND(#REF!,"AAAAAG+jrW4=")</f>
        <v>#REF!</v>
      </c>
      <c r="DH4" t="e">
        <f>AND(#REF!,"AAAAAG+jrW8=")</f>
        <v>#REF!</v>
      </c>
      <c r="DI4" t="e">
        <f>AND(#REF!,"AAAAAG+jrXA=")</f>
        <v>#REF!</v>
      </c>
      <c r="DJ4" t="e">
        <f>AND(#REF!,"AAAAAG+jrXE=")</f>
        <v>#REF!</v>
      </c>
      <c r="DK4" t="e">
        <f>AND(#REF!,"AAAAAG+jrXI=")</f>
        <v>#REF!</v>
      </c>
      <c r="DL4" t="e">
        <f>IF(#REF!,"AAAAAG+jrXM=",0)</f>
        <v>#REF!</v>
      </c>
      <c r="DM4" t="e">
        <f>AND(#REF!,"AAAAAG+jrXQ=")</f>
        <v>#REF!</v>
      </c>
      <c r="DN4" t="e">
        <f>AND(#REF!,"AAAAAG+jrXU=")</f>
        <v>#REF!</v>
      </c>
      <c r="DO4" t="e">
        <f>AND(#REF!,"AAAAAG+jrXY=")</f>
        <v>#REF!</v>
      </c>
      <c r="DP4" t="e">
        <f>AND(#REF!,"AAAAAG+jrXc=")</f>
        <v>#REF!</v>
      </c>
      <c r="DQ4" t="e">
        <f>AND(#REF!,"AAAAAG+jrXg=")</f>
        <v>#REF!</v>
      </c>
      <c r="DR4" t="e">
        <f>AND(#REF!,"AAAAAG+jrXk=")</f>
        <v>#REF!</v>
      </c>
      <c r="DS4" t="e">
        <f>AND(#REF!,"AAAAAG+jrXo=")</f>
        <v>#REF!</v>
      </c>
      <c r="DT4" t="e">
        <f>AND(#REF!,"AAAAAG+jrXs=")</f>
        <v>#REF!</v>
      </c>
      <c r="DU4" t="e">
        <f>IF(#REF!,"AAAAAG+jrXw=",0)</f>
        <v>#REF!</v>
      </c>
      <c r="DV4" t="e">
        <f>AND(#REF!,"AAAAAG+jrX0=")</f>
        <v>#REF!</v>
      </c>
      <c r="DW4" t="e">
        <f>AND(#REF!,"AAAAAG+jrX4=")</f>
        <v>#REF!</v>
      </c>
      <c r="DX4" t="e">
        <f>AND(#REF!,"AAAAAG+jrX8=")</f>
        <v>#REF!</v>
      </c>
      <c r="DY4" t="e">
        <f>AND(#REF!,"AAAAAG+jrYA=")</f>
        <v>#REF!</v>
      </c>
      <c r="DZ4" t="e">
        <f>AND(#REF!,"AAAAAG+jrYE=")</f>
        <v>#REF!</v>
      </c>
      <c r="EA4" t="e">
        <f>AND(#REF!,"AAAAAG+jrYI=")</f>
        <v>#REF!</v>
      </c>
      <c r="EB4" t="e">
        <f>AND(#REF!,"AAAAAG+jrYM=")</f>
        <v>#REF!</v>
      </c>
      <c r="EC4" t="e">
        <f>AND(#REF!,"AAAAAG+jrYQ=")</f>
        <v>#REF!</v>
      </c>
      <c r="ED4" t="e">
        <f>IF(#REF!,"AAAAAG+jrYU=",0)</f>
        <v>#REF!</v>
      </c>
      <c r="EE4" t="e">
        <f>AND(#REF!,"AAAAAG+jrYY=")</f>
        <v>#REF!</v>
      </c>
      <c r="EF4" t="e">
        <f>AND(#REF!,"AAAAAG+jrYc=")</f>
        <v>#REF!</v>
      </c>
      <c r="EG4" t="e">
        <f>AND(#REF!,"AAAAAG+jrYg=")</f>
        <v>#REF!</v>
      </c>
      <c r="EH4" t="e">
        <f>AND(#REF!,"AAAAAG+jrYk=")</f>
        <v>#REF!</v>
      </c>
      <c r="EI4" t="e">
        <f>AND(#REF!,"AAAAAG+jrYo=")</f>
        <v>#REF!</v>
      </c>
      <c r="EJ4" t="e">
        <f>AND(#REF!,"AAAAAG+jrYs=")</f>
        <v>#REF!</v>
      </c>
      <c r="EK4" t="e">
        <f>AND(#REF!,"AAAAAG+jrYw=")</f>
        <v>#REF!</v>
      </c>
      <c r="EL4" t="e">
        <f>AND(#REF!,"AAAAAG+jrY0=")</f>
        <v>#REF!</v>
      </c>
      <c r="EM4" t="e">
        <f>IF(#REF!,"AAAAAG+jrY4=",0)</f>
        <v>#REF!</v>
      </c>
      <c r="EN4" t="e">
        <f>AND(#REF!,"AAAAAG+jrY8=")</f>
        <v>#REF!</v>
      </c>
      <c r="EO4" t="e">
        <f>AND(#REF!,"AAAAAG+jrZA=")</f>
        <v>#REF!</v>
      </c>
      <c r="EP4" t="e">
        <f>AND(#REF!,"AAAAAG+jrZE=")</f>
        <v>#REF!</v>
      </c>
      <c r="EQ4" t="e">
        <f>AND(#REF!,"AAAAAG+jrZI=")</f>
        <v>#REF!</v>
      </c>
      <c r="ER4" t="e">
        <f>AND(#REF!,"AAAAAG+jrZM=")</f>
        <v>#REF!</v>
      </c>
      <c r="ES4" t="e">
        <f>AND(#REF!,"AAAAAG+jrZQ=")</f>
        <v>#REF!</v>
      </c>
      <c r="ET4" t="e">
        <f>AND(#REF!,"AAAAAG+jrZU=")</f>
        <v>#REF!</v>
      </c>
      <c r="EU4" t="e">
        <f>AND(#REF!,"AAAAAG+jrZY=")</f>
        <v>#REF!</v>
      </c>
      <c r="EV4" t="e">
        <f>IF(#REF!,"AAAAAG+jrZc=",0)</f>
        <v>#REF!</v>
      </c>
      <c r="EW4" t="e">
        <f>AND(#REF!,"AAAAAG+jrZg=")</f>
        <v>#REF!</v>
      </c>
      <c r="EX4" t="e">
        <f>AND(#REF!,"AAAAAG+jrZk=")</f>
        <v>#REF!</v>
      </c>
      <c r="EY4" t="e">
        <f>AND(#REF!,"AAAAAG+jrZo=")</f>
        <v>#REF!</v>
      </c>
      <c r="EZ4" t="e">
        <f>AND(#REF!,"AAAAAG+jrZs=")</f>
        <v>#REF!</v>
      </c>
      <c r="FA4" t="e">
        <f>AND(#REF!,"AAAAAG+jrZw=")</f>
        <v>#REF!</v>
      </c>
      <c r="FB4" t="e">
        <f>AND(#REF!,"AAAAAG+jrZ0=")</f>
        <v>#REF!</v>
      </c>
      <c r="FC4" t="e">
        <f>AND(#REF!,"AAAAAG+jrZ4=")</f>
        <v>#REF!</v>
      </c>
      <c r="FD4" t="e">
        <f>AND(#REF!,"AAAAAG+jrZ8=")</f>
        <v>#REF!</v>
      </c>
      <c r="FE4" t="e">
        <f>IF(#REF!,"AAAAAG+jraA=",0)</f>
        <v>#REF!</v>
      </c>
      <c r="FF4" t="e">
        <f>AND(#REF!,"AAAAAG+jraE=")</f>
        <v>#REF!</v>
      </c>
      <c r="FG4" t="e">
        <f>AND(#REF!,"AAAAAG+jraI=")</f>
        <v>#REF!</v>
      </c>
      <c r="FH4" t="e">
        <f>AND(#REF!,"AAAAAG+jraM=")</f>
        <v>#REF!</v>
      </c>
      <c r="FI4" t="e">
        <f>AND(#REF!,"AAAAAG+jraQ=")</f>
        <v>#REF!</v>
      </c>
      <c r="FJ4" t="e">
        <f>AND(#REF!,"AAAAAG+jraU=")</f>
        <v>#REF!</v>
      </c>
      <c r="FK4" t="e">
        <f>AND(#REF!,"AAAAAG+jraY=")</f>
        <v>#REF!</v>
      </c>
      <c r="FL4" t="e">
        <f>AND(#REF!,"AAAAAG+jrac=")</f>
        <v>#REF!</v>
      </c>
      <c r="FM4" t="e">
        <f>AND(#REF!,"AAAAAG+jrag=")</f>
        <v>#REF!</v>
      </c>
      <c r="FN4" t="e">
        <f>IF(#REF!,"AAAAAG+jrak=",0)</f>
        <v>#REF!</v>
      </c>
      <c r="FO4" t="e">
        <f>AND(#REF!,"AAAAAG+jrao=")</f>
        <v>#REF!</v>
      </c>
      <c r="FP4" t="e">
        <f>AND(#REF!,"AAAAAG+jras=")</f>
        <v>#REF!</v>
      </c>
      <c r="FQ4" t="e">
        <f>AND(#REF!,"AAAAAG+jraw=")</f>
        <v>#REF!</v>
      </c>
      <c r="FR4" t="e">
        <f>AND(#REF!,"AAAAAG+jra0=")</f>
        <v>#REF!</v>
      </c>
      <c r="FS4" t="e">
        <f>AND(#REF!,"AAAAAG+jra4=")</f>
        <v>#REF!</v>
      </c>
      <c r="FT4" t="e">
        <f>AND(#REF!,"AAAAAG+jra8=")</f>
        <v>#REF!</v>
      </c>
      <c r="FU4" t="e">
        <f>AND(#REF!,"AAAAAG+jrbA=")</f>
        <v>#REF!</v>
      </c>
      <c r="FV4" t="e">
        <f>AND(#REF!,"AAAAAG+jrbE=")</f>
        <v>#REF!</v>
      </c>
      <c r="FW4" t="e">
        <f>IF(#REF!,"AAAAAG+jrbI=",0)</f>
        <v>#REF!</v>
      </c>
      <c r="FX4" t="e">
        <f>AND(#REF!,"AAAAAG+jrbM=")</f>
        <v>#REF!</v>
      </c>
      <c r="FY4" t="e">
        <f>AND(#REF!,"AAAAAG+jrbQ=")</f>
        <v>#REF!</v>
      </c>
      <c r="FZ4" t="e">
        <f>AND(#REF!,"AAAAAG+jrbU=")</f>
        <v>#REF!</v>
      </c>
      <c r="GA4" t="e">
        <f>AND(#REF!,"AAAAAG+jrbY=")</f>
        <v>#REF!</v>
      </c>
      <c r="GB4" t="e">
        <f>AND(#REF!,"AAAAAG+jrbc=")</f>
        <v>#REF!</v>
      </c>
      <c r="GC4" t="e">
        <f>AND(#REF!,"AAAAAG+jrbg=")</f>
        <v>#REF!</v>
      </c>
      <c r="GD4" t="e">
        <f>AND(#REF!,"AAAAAG+jrbk=")</f>
        <v>#REF!</v>
      </c>
      <c r="GE4" t="e">
        <f>AND(#REF!,"AAAAAG+jrbo=")</f>
        <v>#REF!</v>
      </c>
      <c r="GF4" t="e">
        <f>IF(#REF!,"AAAAAG+jrbs=",0)</f>
        <v>#REF!</v>
      </c>
      <c r="GG4" t="e">
        <f>AND(#REF!,"AAAAAG+jrbw=")</f>
        <v>#REF!</v>
      </c>
      <c r="GH4" t="e">
        <f>AND(#REF!,"AAAAAG+jrb0=")</f>
        <v>#REF!</v>
      </c>
      <c r="GI4" t="e">
        <f>AND(#REF!,"AAAAAG+jrb4=")</f>
        <v>#REF!</v>
      </c>
      <c r="GJ4" t="e">
        <f>AND(#REF!,"AAAAAG+jrb8=")</f>
        <v>#REF!</v>
      </c>
      <c r="GK4" t="e">
        <f>AND(#REF!,"AAAAAG+jrcA=")</f>
        <v>#REF!</v>
      </c>
      <c r="GL4" t="e">
        <f>AND(#REF!,"AAAAAG+jrcE=")</f>
        <v>#REF!</v>
      </c>
      <c r="GM4" t="e">
        <f>AND(#REF!,"AAAAAG+jrcI=")</f>
        <v>#REF!</v>
      </c>
      <c r="GN4" t="e">
        <f>AND(#REF!,"AAAAAG+jrcM=")</f>
        <v>#REF!</v>
      </c>
      <c r="GO4" t="e">
        <f>IF(#REF!,"AAAAAG+jrcQ=",0)</f>
        <v>#REF!</v>
      </c>
      <c r="GP4" t="e">
        <f>AND(#REF!,"AAAAAG+jrcU=")</f>
        <v>#REF!</v>
      </c>
      <c r="GQ4" t="e">
        <f>AND(#REF!,"AAAAAG+jrcY=")</f>
        <v>#REF!</v>
      </c>
      <c r="GR4" t="e">
        <f>AND(#REF!,"AAAAAG+jrcc=")</f>
        <v>#REF!</v>
      </c>
      <c r="GS4" t="e">
        <f>AND(#REF!,"AAAAAG+jrcg=")</f>
        <v>#REF!</v>
      </c>
      <c r="GT4" t="e">
        <f>AND(#REF!,"AAAAAG+jrck=")</f>
        <v>#REF!</v>
      </c>
      <c r="GU4" t="e">
        <f>AND(#REF!,"AAAAAG+jrco=")</f>
        <v>#REF!</v>
      </c>
      <c r="GV4" t="e">
        <f>AND(#REF!,"AAAAAG+jrcs=")</f>
        <v>#REF!</v>
      </c>
      <c r="GW4" t="e">
        <f>AND(#REF!,"AAAAAG+jrcw=")</f>
        <v>#REF!</v>
      </c>
      <c r="GX4" t="e">
        <f>IF(#REF!,"AAAAAG+jrc0=",0)</f>
        <v>#REF!</v>
      </c>
      <c r="GY4" t="e">
        <f>AND(#REF!,"AAAAAG+jrc4=")</f>
        <v>#REF!</v>
      </c>
      <c r="GZ4" t="e">
        <f>AND(#REF!,"AAAAAG+jrc8=")</f>
        <v>#REF!</v>
      </c>
      <c r="HA4" t="e">
        <f>AND(#REF!,"AAAAAG+jrdA=")</f>
        <v>#REF!</v>
      </c>
      <c r="HB4" t="e">
        <f>AND(#REF!,"AAAAAG+jrdE=")</f>
        <v>#REF!</v>
      </c>
      <c r="HC4" t="e">
        <f>AND(#REF!,"AAAAAG+jrdI=")</f>
        <v>#REF!</v>
      </c>
      <c r="HD4" t="e">
        <f>AND(#REF!,"AAAAAG+jrdM=")</f>
        <v>#REF!</v>
      </c>
      <c r="HE4" t="e">
        <f>AND(#REF!,"AAAAAG+jrdQ=")</f>
        <v>#REF!</v>
      </c>
      <c r="HF4" t="e">
        <f>AND(#REF!,"AAAAAG+jrdU=")</f>
        <v>#REF!</v>
      </c>
      <c r="HG4" t="e">
        <f>IF(#REF!,"AAAAAG+jrdY=",0)</f>
        <v>#REF!</v>
      </c>
      <c r="HH4" t="e">
        <f>AND(#REF!,"AAAAAG+jrdc=")</f>
        <v>#REF!</v>
      </c>
      <c r="HI4" t="e">
        <f>AND(#REF!,"AAAAAG+jrdg=")</f>
        <v>#REF!</v>
      </c>
      <c r="HJ4" t="e">
        <f>AND(#REF!,"AAAAAG+jrdk=")</f>
        <v>#REF!</v>
      </c>
      <c r="HK4" t="e">
        <f>AND(#REF!,"AAAAAG+jrdo=")</f>
        <v>#REF!</v>
      </c>
      <c r="HL4" t="e">
        <f>AND(#REF!,"AAAAAG+jrds=")</f>
        <v>#REF!</v>
      </c>
      <c r="HM4" t="e">
        <f>AND(#REF!,"AAAAAG+jrdw=")</f>
        <v>#REF!</v>
      </c>
      <c r="HN4" t="e">
        <f>AND(#REF!,"AAAAAG+jrd0=")</f>
        <v>#REF!</v>
      </c>
      <c r="HO4" t="e">
        <f>AND(#REF!,"AAAAAG+jrd4=")</f>
        <v>#REF!</v>
      </c>
      <c r="HP4" t="e">
        <f>IF(#REF!,"AAAAAG+jrd8=",0)</f>
        <v>#REF!</v>
      </c>
      <c r="HQ4" t="e">
        <f>AND(#REF!,"AAAAAG+jreA=")</f>
        <v>#REF!</v>
      </c>
      <c r="HR4" t="e">
        <f>AND(#REF!,"AAAAAG+jreE=")</f>
        <v>#REF!</v>
      </c>
      <c r="HS4" t="e">
        <f>AND(#REF!,"AAAAAG+jreI=")</f>
        <v>#REF!</v>
      </c>
      <c r="HT4" t="e">
        <f>AND(#REF!,"AAAAAG+jreM=")</f>
        <v>#REF!</v>
      </c>
      <c r="HU4" t="e">
        <f>AND(#REF!,"AAAAAG+jreQ=")</f>
        <v>#REF!</v>
      </c>
      <c r="HV4" t="e">
        <f>AND(#REF!,"AAAAAG+jreU=")</f>
        <v>#REF!</v>
      </c>
      <c r="HW4" t="e">
        <f>AND(#REF!,"AAAAAG+jreY=")</f>
        <v>#REF!</v>
      </c>
      <c r="HX4" t="e">
        <f>AND(#REF!,"AAAAAG+jrec=")</f>
        <v>#REF!</v>
      </c>
      <c r="HY4" t="e">
        <f>IF(#REF!,"AAAAAG+jreg=",0)</f>
        <v>#REF!</v>
      </c>
      <c r="HZ4" t="e">
        <f>AND(#REF!,"AAAAAG+jrek=")</f>
        <v>#REF!</v>
      </c>
      <c r="IA4" t="e">
        <f>AND(#REF!,"AAAAAG+jreo=")</f>
        <v>#REF!</v>
      </c>
      <c r="IB4" t="e">
        <f>AND(#REF!,"AAAAAG+jres=")</f>
        <v>#REF!</v>
      </c>
      <c r="IC4" t="e">
        <f>AND(#REF!,"AAAAAG+jrew=")</f>
        <v>#REF!</v>
      </c>
      <c r="ID4" t="e">
        <f>AND(#REF!,"AAAAAG+jre0=")</f>
        <v>#REF!</v>
      </c>
      <c r="IE4" t="e">
        <f>AND(#REF!,"AAAAAG+jre4=")</f>
        <v>#REF!</v>
      </c>
      <c r="IF4" t="e">
        <f>AND(#REF!,"AAAAAG+jre8=")</f>
        <v>#REF!</v>
      </c>
      <c r="IG4" t="e">
        <f>AND(#REF!,"AAAAAG+jrfA=")</f>
        <v>#REF!</v>
      </c>
      <c r="IH4" t="e">
        <f>IF(#REF!,"AAAAAG+jrfE=",0)</f>
        <v>#REF!</v>
      </c>
      <c r="II4" t="e">
        <f>AND(#REF!,"AAAAAG+jrfI=")</f>
        <v>#REF!</v>
      </c>
      <c r="IJ4" t="e">
        <f>AND(#REF!,"AAAAAG+jrfM=")</f>
        <v>#REF!</v>
      </c>
      <c r="IK4" t="e">
        <f>AND(#REF!,"AAAAAG+jrfQ=")</f>
        <v>#REF!</v>
      </c>
      <c r="IL4" t="e">
        <f>AND(#REF!,"AAAAAG+jrfU=")</f>
        <v>#REF!</v>
      </c>
      <c r="IM4" t="e">
        <f>AND(#REF!,"AAAAAG+jrfY=")</f>
        <v>#REF!</v>
      </c>
      <c r="IN4" t="e">
        <f>AND(#REF!,"AAAAAG+jrfc=")</f>
        <v>#REF!</v>
      </c>
      <c r="IO4" t="e">
        <f>AND(#REF!,"AAAAAG+jrfg=")</f>
        <v>#REF!</v>
      </c>
      <c r="IP4" t="e">
        <f>AND(#REF!,"AAAAAG+jrfk=")</f>
        <v>#REF!</v>
      </c>
      <c r="IQ4" t="e">
        <f>IF(#REF!,"AAAAAG+jrfo=",0)</f>
        <v>#REF!</v>
      </c>
      <c r="IR4" t="e">
        <f>AND(#REF!,"AAAAAG+jrfs=")</f>
        <v>#REF!</v>
      </c>
      <c r="IS4" t="e">
        <f>AND(#REF!,"AAAAAG+jrfw=")</f>
        <v>#REF!</v>
      </c>
      <c r="IT4" t="e">
        <f>AND(#REF!,"AAAAAG+jrf0=")</f>
        <v>#REF!</v>
      </c>
      <c r="IU4" t="e">
        <f>AND(#REF!,"AAAAAG+jrf4=")</f>
        <v>#REF!</v>
      </c>
      <c r="IV4" t="e">
        <f>AND(#REF!,"AAAAAG+jrf8=")</f>
        <v>#REF!</v>
      </c>
    </row>
    <row r="5" spans="1:256" x14ac:dyDescent="0.25">
      <c r="A5" t="e">
        <f>AND(#REF!,"AAAAAG2f/QA=")</f>
        <v>#REF!</v>
      </c>
      <c r="B5" t="e">
        <f>AND(#REF!,"AAAAAG2f/QE=")</f>
        <v>#REF!</v>
      </c>
      <c r="C5" t="e">
        <f>AND(#REF!,"AAAAAG2f/QI=")</f>
        <v>#REF!</v>
      </c>
      <c r="D5" t="e">
        <f>IF(#REF!,"AAAAAG2f/QM=",0)</f>
        <v>#REF!</v>
      </c>
      <c r="E5" t="e">
        <f>AND(#REF!,"AAAAAG2f/QQ=")</f>
        <v>#REF!</v>
      </c>
      <c r="F5" t="e">
        <f>AND(#REF!,"AAAAAG2f/QU=")</f>
        <v>#REF!</v>
      </c>
      <c r="G5" t="e">
        <f>AND(#REF!,"AAAAAG2f/QY=")</f>
        <v>#REF!</v>
      </c>
      <c r="H5" t="e">
        <f>AND(#REF!,"AAAAAG2f/Qc=")</f>
        <v>#REF!</v>
      </c>
      <c r="I5" t="e">
        <f>AND(#REF!,"AAAAAG2f/Qg=")</f>
        <v>#REF!</v>
      </c>
      <c r="J5" t="e">
        <f>AND(#REF!,"AAAAAG2f/Qk=")</f>
        <v>#REF!</v>
      </c>
      <c r="K5" t="e">
        <f>AND(#REF!,"AAAAAG2f/Qo=")</f>
        <v>#REF!</v>
      </c>
      <c r="L5" t="e">
        <f>AND(#REF!,"AAAAAG2f/Qs=")</f>
        <v>#REF!</v>
      </c>
      <c r="M5" t="e">
        <f>IF(#REF!,"AAAAAG2f/Qw=",0)</f>
        <v>#REF!</v>
      </c>
      <c r="N5" t="e">
        <f>AND(#REF!,"AAAAAG2f/Q0=")</f>
        <v>#REF!</v>
      </c>
      <c r="O5" t="e">
        <f>AND(#REF!,"AAAAAG2f/Q4=")</f>
        <v>#REF!</v>
      </c>
      <c r="P5" t="e">
        <f>AND(#REF!,"AAAAAG2f/Q8=")</f>
        <v>#REF!</v>
      </c>
      <c r="Q5" t="e">
        <f>AND(#REF!,"AAAAAG2f/RA=")</f>
        <v>#REF!</v>
      </c>
      <c r="R5" t="e">
        <f>AND(#REF!,"AAAAAG2f/RE=")</f>
        <v>#REF!</v>
      </c>
      <c r="S5" t="e">
        <f>AND(#REF!,"AAAAAG2f/RI=")</f>
        <v>#REF!</v>
      </c>
      <c r="T5" t="e">
        <f>AND(#REF!,"AAAAAG2f/RM=")</f>
        <v>#REF!</v>
      </c>
      <c r="U5" t="e">
        <f>AND(#REF!,"AAAAAG2f/RQ=")</f>
        <v>#REF!</v>
      </c>
      <c r="V5" t="e">
        <f>IF(#REF!,"AAAAAG2f/RU=",0)</f>
        <v>#REF!</v>
      </c>
      <c r="W5" t="e">
        <f>AND(#REF!,"AAAAAG2f/RY=")</f>
        <v>#REF!</v>
      </c>
      <c r="X5" t="e">
        <f>AND(#REF!,"AAAAAG2f/Rc=")</f>
        <v>#REF!</v>
      </c>
      <c r="Y5" t="e">
        <f>AND(#REF!,"AAAAAG2f/Rg=")</f>
        <v>#REF!</v>
      </c>
      <c r="Z5" t="e">
        <f>AND(#REF!,"AAAAAG2f/Rk=")</f>
        <v>#REF!</v>
      </c>
      <c r="AA5" t="e">
        <f>AND(#REF!,"AAAAAG2f/Ro=")</f>
        <v>#REF!</v>
      </c>
      <c r="AB5" t="e">
        <f>AND(#REF!,"AAAAAG2f/Rs=")</f>
        <v>#REF!</v>
      </c>
      <c r="AC5" t="e">
        <f>AND(#REF!,"AAAAAG2f/Rw=")</f>
        <v>#REF!</v>
      </c>
      <c r="AD5" t="e">
        <f>AND(#REF!,"AAAAAG2f/R0=")</f>
        <v>#REF!</v>
      </c>
      <c r="AE5" t="e">
        <f>IF(#REF!,"AAAAAG2f/R4=",0)</f>
        <v>#REF!</v>
      </c>
      <c r="AF5" t="e">
        <f>AND(#REF!,"AAAAAG2f/R8=")</f>
        <v>#REF!</v>
      </c>
      <c r="AG5" t="e">
        <f>AND(#REF!,"AAAAAG2f/SA=")</f>
        <v>#REF!</v>
      </c>
      <c r="AH5" t="e">
        <f>AND(#REF!,"AAAAAG2f/SE=")</f>
        <v>#REF!</v>
      </c>
      <c r="AI5" t="e">
        <f>AND(#REF!,"AAAAAG2f/SI=")</f>
        <v>#REF!</v>
      </c>
      <c r="AJ5" t="e">
        <f>AND(#REF!,"AAAAAG2f/SM=")</f>
        <v>#REF!</v>
      </c>
      <c r="AK5" t="e">
        <f>AND(#REF!,"AAAAAG2f/SQ=")</f>
        <v>#REF!</v>
      </c>
      <c r="AL5" t="e">
        <f>AND(#REF!,"AAAAAG2f/SU=")</f>
        <v>#REF!</v>
      </c>
      <c r="AM5" t="e">
        <f>AND(#REF!,"AAAAAG2f/SY=")</f>
        <v>#REF!</v>
      </c>
      <c r="AN5" t="e">
        <f>IF(#REF!,"AAAAAG2f/Sc=",0)</f>
        <v>#REF!</v>
      </c>
      <c r="AO5" t="e">
        <f>AND(#REF!,"AAAAAG2f/Sg=")</f>
        <v>#REF!</v>
      </c>
      <c r="AP5" t="e">
        <f>AND(#REF!,"AAAAAG2f/Sk=")</f>
        <v>#REF!</v>
      </c>
      <c r="AQ5" t="e">
        <f>AND(#REF!,"AAAAAG2f/So=")</f>
        <v>#REF!</v>
      </c>
      <c r="AR5" t="e">
        <f>AND(#REF!,"AAAAAG2f/Ss=")</f>
        <v>#REF!</v>
      </c>
      <c r="AS5" t="e">
        <f>AND(#REF!,"AAAAAG2f/Sw=")</f>
        <v>#REF!</v>
      </c>
      <c r="AT5" t="e">
        <f>AND(#REF!,"AAAAAG2f/S0=")</f>
        <v>#REF!</v>
      </c>
      <c r="AU5" t="e">
        <f>AND(#REF!,"AAAAAG2f/S4=")</f>
        <v>#REF!</v>
      </c>
      <c r="AV5" t="e">
        <f>AND(#REF!,"AAAAAG2f/S8=")</f>
        <v>#REF!</v>
      </c>
      <c r="AW5" t="e">
        <f>IF(#REF!,"AAAAAG2f/TA=",0)</f>
        <v>#REF!</v>
      </c>
      <c r="AX5" t="e">
        <f>AND(#REF!,"AAAAAG2f/TE=")</f>
        <v>#REF!</v>
      </c>
      <c r="AY5" t="e">
        <f>AND(#REF!,"AAAAAG2f/TI=")</f>
        <v>#REF!</v>
      </c>
      <c r="AZ5" t="e">
        <f>AND(#REF!,"AAAAAG2f/TM=")</f>
        <v>#REF!</v>
      </c>
      <c r="BA5" t="e">
        <f>AND(#REF!,"AAAAAG2f/TQ=")</f>
        <v>#REF!</v>
      </c>
      <c r="BB5" t="e">
        <f>AND(#REF!,"AAAAAG2f/TU=")</f>
        <v>#REF!</v>
      </c>
      <c r="BC5" t="e">
        <f>AND(#REF!,"AAAAAG2f/TY=")</f>
        <v>#REF!</v>
      </c>
      <c r="BD5" t="e">
        <f>AND(#REF!,"AAAAAG2f/Tc=")</f>
        <v>#REF!</v>
      </c>
      <c r="BE5" t="e">
        <f>AND(#REF!,"AAAAAG2f/Tg=")</f>
        <v>#REF!</v>
      </c>
      <c r="BF5" t="e">
        <f>IF(#REF!,"AAAAAG2f/Tk=",0)</f>
        <v>#REF!</v>
      </c>
      <c r="BG5" t="e">
        <f>AND(#REF!,"AAAAAG2f/To=")</f>
        <v>#REF!</v>
      </c>
      <c r="BH5" t="e">
        <f>AND(#REF!,"AAAAAG2f/Ts=")</f>
        <v>#REF!</v>
      </c>
      <c r="BI5" t="e">
        <f>AND(#REF!,"AAAAAG2f/Tw=")</f>
        <v>#REF!</v>
      </c>
      <c r="BJ5" t="e">
        <f>AND(#REF!,"AAAAAG2f/T0=")</f>
        <v>#REF!</v>
      </c>
      <c r="BK5" t="e">
        <f>AND(#REF!,"AAAAAG2f/T4=")</f>
        <v>#REF!</v>
      </c>
      <c r="BL5" t="e">
        <f>AND(#REF!,"AAAAAG2f/T8=")</f>
        <v>#REF!</v>
      </c>
      <c r="BM5" t="e">
        <f>AND(#REF!,"AAAAAG2f/UA=")</f>
        <v>#REF!</v>
      </c>
      <c r="BN5" t="e">
        <f>AND(#REF!,"AAAAAG2f/UE=")</f>
        <v>#REF!</v>
      </c>
      <c r="BO5" t="e">
        <f>IF(#REF!,"AAAAAG2f/UI=",0)</f>
        <v>#REF!</v>
      </c>
      <c r="BP5" t="e">
        <f>AND(#REF!,"AAAAAG2f/UM=")</f>
        <v>#REF!</v>
      </c>
      <c r="BQ5" t="e">
        <f>AND(#REF!,"AAAAAG2f/UQ=")</f>
        <v>#REF!</v>
      </c>
      <c r="BR5" t="e">
        <f>AND(#REF!,"AAAAAG2f/UU=")</f>
        <v>#REF!</v>
      </c>
      <c r="BS5" t="e">
        <f>AND(#REF!,"AAAAAG2f/UY=")</f>
        <v>#REF!</v>
      </c>
      <c r="BT5" t="e">
        <f>AND(#REF!,"AAAAAG2f/Uc=")</f>
        <v>#REF!</v>
      </c>
      <c r="BU5" t="e">
        <f>AND(#REF!,"AAAAAG2f/Ug=")</f>
        <v>#REF!</v>
      </c>
      <c r="BV5" t="e">
        <f>AND(#REF!,"AAAAAG2f/Uk=")</f>
        <v>#REF!</v>
      </c>
      <c r="BW5" t="e">
        <f>AND(#REF!,"AAAAAG2f/Uo=")</f>
        <v>#REF!</v>
      </c>
      <c r="BX5" t="e">
        <f>IF(#REF!,"AAAAAG2f/Us=",0)</f>
        <v>#REF!</v>
      </c>
      <c r="BY5" t="e">
        <f>AND(#REF!,"AAAAAG2f/Uw=")</f>
        <v>#REF!</v>
      </c>
      <c r="BZ5" t="e">
        <f>AND(#REF!,"AAAAAG2f/U0=")</f>
        <v>#REF!</v>
      </c>
      <c r="CA5" t="e">
        <f>AND(#REF!,"AAAAAG2f/U4=")</f>
        <v>#REF!</v>
      </c>
      <c r="CB5" t="e">
        <f>AND(#REF!,"AAAAAG2f/U8=")</f>
        <v>#REF!</v>
      </c>
      <c r="CC5" t="e">
        <f>AND(#REF!,"AAAAAG2f/VA=")</f>
        <v>#REF!</v>
      </c>
      <c r="CD5" t="e">
        <f>AND(#REF!,"AAAAAG2f/VE=")</f>
        <v>#REF!</v>
      </c>
      <c r="CE5" t="e">
        <f>AND(#REF!,"AAAAAG2f/VI=")</f>
        <v>#REF!</v>
      </c>
      <c r="CF5" t="e">
        <f>AND(#REF!,"AAAAAG2f/VM=")</f>
        <v>#REF!</v>
      </c>
      <c r="CG5" t="e">
        <f>IF(#REF!,"AAAAAG2f/VQ=",0)</f>
        <v>#REF!</v>
      </c>
      <c r="CH5" t="e">
        <f>AND(#REF!,"AAAAAG2f/VU=")</f>
        <v>#REF!</v>
      </c>
      <c r="CI5" t="e">
        <f>AND(#REF!,"AAAAAG2f/VY=")</f>
        <v>#REF!</v>
      </c>
      <c r="CJ5" t="e">
        <f>AND(#REF!,"AAAAAG2f/Vc=")</f>
        <v>#REF!</v>
      </c>
      <c r="CK5" t="e">
        <f>AND(#REF!,"AAAAAG2f/Vg=")</f>
        <v>#REF!</v>
      </c>
      <c r="CL5" t="e">
        <f>AND(#REF!,"AAAAAG2f/Vk=")</f>
        <v>#REF!</v>
      </c>
      <c r="CM5" t="e">
        <f>AND(#REF!,"AAAAAG2f/Vo=")</f>
        <v>#REF!</v>
      </c>
      <c r="CN5" t="e">
        <f>AND(#REF!,"AAAAAG2f/Vs=")</f>
        <v>#REF!</v>
      </c>
      <c r="CO5" t="e">
        <f>AND(#REF!,"AAAAAG2f/Vw=")</f>
        <v>#REF!</v>
      </c>
      <c r="CP5" t="e">
        <f>IF(#REF!,"AAAAAG2f/V0=",0)</f>
        <v>#REF!</v>
      </c>
      <c r="CQ5" t="e">
        <f>AND(#REF!,"AAAAAG2f/V4=")</f>
        <v>#REF!</v>
      </c>
      <c r="CR5" t="e">
        <f>AND(#REF!,"AAAAAG2f/V8=")</f>
        <v>#REF!</v>
      </c>
      <c r="CS5" t="e">
        <f>AND(#REF!,"AAAAAG2f/WA=")</f>
        <v>#REF!</v>
      </c>
      <c r="CT5" t="e">
        <f>AND(#REF!,"AAAAAG2f/WE=")</f>
        <v>#REF!</v>
      </c>
      <c r="CU5" t="e">
        <f>AND(#REF!,"AAAAAG2f/WI=")</f>
        <v>#REF!</v>
      </c>
      <c r="CV5" t="e">
        <f>AND(#REF!,"AAAAAG2f/WM=")</f>
        <v>#REF!</v>
      </c>
      <c r="CW5" t="e">
        <f>AND(#REF!,"AAAAAG2f/WQ=")</f>
        <v>#REF!</v>
      </c>
      <c r="CX5" t="e">
        <f>AND(#REF!,"AAAAAG2f/WU=")</f>
        <v>#REF!</v>
      </c>
      <c r="CY5" t="e">
        <f>IF(#REF!,"AAAAAG2f/WY=",0)</f>
        <v>#REF!</v>
      </c>
      <c r="CZ5" t="e">
        <f>AND(#REF!,"AAAAAG2f/Wc=")</f>
        <v>#REF!</v>
      </c>
      <c r="DA5" t="e">
        <f>AND(#REF!,"AAAAAG2f/Wg=")</f>
        <v>#REF!</v>
      </c>
      <c r="DB5" t="e">
        <f>AND(#REF!,"AAAAAG2f/Wk=")</f>
        <v>#REF!</v>
      </c>
      <c r="DC5" t="e">
        <f>AND(#REF!,"AAAAAG2f/Wo=")</f>
        <v>#REF!</v>
      </c>
      <c r="DD5" t="e">
        <f>AND(#REF!,"AAAAAG2f/Ws=")</f>
        <v>#REF!</v>
      </c>
      <c r="DE5" t="e">
        <f>AND(#REF!,"AAAAAG2f/Ww=")</f>
        <v>#REF!</v>
      </c>
      <c r="DF5" t="e">
        <f>AND(#REF!,"AAAAAG2f/W0=")</f>
        <v>#REF!</v>
      </c>
      <c r="DG5" t="e">
        <f>AND(#REF!,"AAAAAG2f/W4=")</f>
        <v>#REF!</v>
      </c>
      <c r="DH5" t="e">
        <f>IF(#REF!,"AAAAAG2f/W8=",0)</f>
        <v>#REF!</v>
      </c>
      <c r="DI5" t="e">
        <f>AND(#REF!,"AAAAAG2f/XA=")</f>
        <v>#REF!</v>
      </c>
      <c r="DJ5" t="e">
        <f>AND(#REF!,"AAAAAG2f/XE=")</f>
        <v>#REF!</v>
      </c>
      <c r="DK5" t="e">
        <f>AND(#REF!,"AAAAAG2f/XI=")</f>
        <v>#REF!</v>
      </c>
      <c r="DL5" t="e">
        <f>AND(#REF!,"AAAAAG2f/XM=")</f>
        <v>#REF!</v>
      </c>
      <c r="DM5" t="e">
        <f>AND(#REF!,"AAAAAG2f/XQ=")</f>
        <v>#REF!</v>
      </c>
      <c r="DN5" t="e">
        <f>AND(#REF!,"AAAAAG2f/XU=")</f>
        <v>#REF!</v>
      </c>
      <c r="DO5" t="e">
        <f>AND(#REF!,"AAAAAG2f/XY=")</f>
        <v>#REF!</v>
      </c>
      <c r="DP5" t="e">
        <f>AND(#REF!,"AAAAAG2f/Xc=")</f>
        <v>#REF!</v>
      </c>
      <c r="DQ5" t="e">
        <f>IF(#REF!,"AAAAAG2f/Xg=",0)</f>
        <v>#REF!</v>
      </c>
      <c r="DR5" t="e">
        <f>AND(#REF!,"AAAAAG2f/Xk=")</f>
        <v>#REF!</v>
      </c>
      <c r="DS5" t="e">
        <f>AND(#REF!,"AAAAAG2f/Xo=")</f>
        <v>#REF!</v>
      </c>
      <c r="DT5" t="e">
        <f>AND(#REF!,"AAAAAG2f/Xs=")</f>
        <v>#REF!</v>
      </c>
      <c r="DU5" t="e">
        <f>AND(#REF!,"AAAAAG2f/Xw=")</f>
        <v>#REF!</v>
      </c>
      <c r="DV5" t="e">
        <f>AND(#REF!,"AAAAAG2f/X0=")</f>
        <v>#REF!</v>
      </c>
      <c r="DW5" t="e">
        <f>AND(#REF!,"AAAAAG2f/X4=")</f>
        <v>#REF!</v>
      </c>
      <c r="DX5" t="e">
        <f>AND(#REF!,"AAAAAG2f/X8=")</f>
        <v>#REF!</v>
      </c>
      <c r="DY5" t="e">
        <f>AND(#REF!,"AAAAAG2f/YA=")</f>
        <v>#REF!</v>
      </c>
      <c r="DZ5" t="e">
        <f>IF(#REF!,"AAAAAG2f/YE=",0)</f>
        <v>#REF!</v>
      </c>
      <c r="EA5" t="e">
        <f>AND(#REF!,"AAAAAG2f/YI=")</f>
        <v>#REF!</v>
      </c>
      <c r="EB5" t="e">
        <f>AND(#REF!,"AAAAAG2f/YM=")</f>
        <v>#REF!</v>
      </c>
      <c r="EC5" t="e">
        <f>AND(#REF!,"AAAAAG2f/YQ=")</f>
        <v>#REF!</v>
      </c>
      <c r="ED5" t="e">
        <f>AND(#REF!,"AAAAAG2f/YU=")</f>
        <v>#REF!</v>
      </c>
      <c r="EE5" t="e">
        <f>AND(#REF!,"AAAAAG2f/YY=")</f>
        <v>#REF!</v>
      </c>
      <c r="EF5" t="e">
        <f>AND(#REF!,"AAAAAG2f/Yc=")</f>
        <v>#REF!</v>
      </c>
      <c r="EG5" t="e">
        <f>AND(#REF!,"AAAAAG2f/Yg=")</f>
        <v>#REF!</v>
      </c>
      <c r="EH5" t="e">
        <f>AND(#REF!,"AAAAAG2f/Yk=")</f>
        <v>#REF!</v>
      </c>
      <c r="EI5" t="e">
        <f>IF(#REF!,"AAAAAG2f/Yo=",0)</f>
        <v>#REF!</v>
      </c>
      <c r="EJ5" t="e">
        <f>AND(#REF!,"AAAAAG2f/Ys=")</f>
        <v>#REF!</v>
      </c>
      <c r="EK5" t="e">
        <f>AND(#REF!,"AAAAAG2f/Yw=")</f>
        <v>#REF!</v>
      </c>
      <c r="EL5" t="e">
        <f>AND(#REF!,"AAAAAG2f/Y0=")</f>
        <v>#REF!</v>
      </c>
      <c r="EM5" t="e">
        <f>AND(#REF!,"AAAAAG2f/Y4=")</f>
        <v>#REF!</v>
      </c>
      <c r="EN5" t="e">
        <f>AND(#REF!,"AAAAAG2f/Y8=")</f>
        <v>#REF!</v>
      </c>
      <c r="EO5" t="e">
        <f>AND(#REF!,"AAAAAG2f/ZA=")</f>
        <v>#REF!</v>
      </c>
      <c r="EP5" t="e">
        <f>AND(#REF!,"AAAAAG2f/ZE=")</f>
        <v>#REF!</v>
      </c>
      <c r="EQ5" t="e">
        <f>AND(#REF!,"AAAAAG2f/ZI=")</f>
        <v>#REF!</v>
      </c>
      <c r="ER5" t="e">
        <f>IF(#REF!,"AAAAAG2f/ZM=",0)</f>
        <v>#REF!</v>
      </c>
      <c r="ES5" t="e">
        <f>AND(#REF!,"AAAAAG2f/ZQ=")</f>
        <v>#REF!</v>
      </c>
      <c r="ET5" t="e">
        <f>AND(#REF!,"AAAAAG2f/ZU=")</f>
        <v>#REF!</v>
      </c>
      <c r="EU5" t="e">
        <f>AND(#REF!,"AAAAAG2f/ZY=")</f>
        <v>#REF!</v>
      </c>
      <c r="EV5" t="e">
        <f>AND(#REF!,"AAAAAG2f/Zc=")</f>
        <v>#REF!</v>
      </c>
      <c r="EW5" t="e">
        <f>AND(#REF!,"AAAAAG2f/Zg=")</f>
        <v>#REF!</v>
      </c>
      <c r="EX5" t="e">
        <f>AND(#REF!,"AAAAAG2f/Zk=")</f>
        <v>#REF!</v>
      </c>
      <c r="EY5" t="e">
        <f>AND(#REF!,"AAAAAG2f/Zo=")</f>
        <v>#REF!</v>
      </c>
      <c r="EZ5" t="e">
        <f>AND(#REF!,"AAAAAG2f/Zs=")</f>
        <v>#REF!</v>
      </c>
      <c r="FA5" t="e">
        <f>IF(#REF!,"AAAAAG2f/Zw=",0)</f>
        <v>#REF!</v>
      </c>
      <c r="FB5" t="e">
        <f>AND(#REF!,"AAAAAG2f/Z0=")</f>
        <v>#REF!</v>
      </c>
      <c r="FC5" t="e">
        <f>AND(#REF!,"AAAAAG2f/Z4=")</f>
        <v>#REF!</v>
      </c>
      <c r="FD5" t="e">
        <f>AND(#REF!,"AAAAAG2f/Z8=")</f>
        <v>#REF!</v>
      </c>
      <c r="FE5" t="e">
        <f>AND(#REF!,"AAAAAG2f/aA=")</f>
        <v>#REF!</v>
      </c>
      <c r="FF5" t="e">
        <f>AND(#REF!,"AAAAAG2f/aE=")</f>
        <v>#REF!</v>
      </c>
      <c r="FG5" t="e">
        <f>AND(#REF!,"AAAAAG2f/aI=")</f>
        <v>#REF!</v>
      </c>
      <c r="FH5" t="e">
        <f>AND(#REF!,"AAAAAG2f/aM=")</f>
        <v>#REF!</v>
      </c>
      <c r="FI5" t="e">
        <f>AND(#REF!,"AAAAAG2f/aQ=")</f>
        <v>#REF!</v>
      </c>
      <c r="FJ5" t="e">
        <f>IF(#REF!,"AAAAAG2f/aU=",0)</f>
        <v>#REF!</v>
      </c>
      <c r="FK5" t="e">
        <f>AND(#REF!,"AAAAAG2f/aY=")</f>
        <v>#REF!</v>
      </c>
      <c r="FL5" t="e">
        <f>AND(#REF!,"AAAAAG2f/ac=")</f>
        <v>#REF!</v>
      </c>
      <c r="FM5" t="e">
        <f>AND(#REF!,"AAAAAG2f/ag=")</f>
        <v>#REF!</v>
      </c>
      <c r="FN5" t="e">
        <f>AND(#REF!,"AAAAAG2f/ak=")</f>
        <v>#REF!</v>
      </c>
      <c r="FO5" t="e">
        <f>AND(#REF!,"AAAAAG2f/ao=")</f>
        <v>#REF!</v>
      </c>
      <c r="FP5" t="e">
        <f>AND(#REF!,"AAAAAG2f/as=")</f>
        <v>#REF!</v>
      </c>
      <c r="FQ5" t="e">
        <f>AND(#REF!,"AAAAAG2f/aw=")</f>
        <v>#REF!</v>
      </c>
      <c r="FR5" t="e">
        <f>AND(#REF!,"AAAAAG2f/a0=")</f>
        <v>#REF!</v>
      </c>
      <c r="FS5" t="e">
        <f>IF(#REF!,"AAAAAG2f/a4=",0)</f>
        <v>#REF!</v>
      </c>
      <c r="FT5" t="e">
        <f>AND(#REF!,"AAAAAG2f/a8=")</f>
        <v>#REF!</v>
      </c>
      <c r="FU5" t="e">
        <f>AND(#REF!,"AAAAAG2f/bA=")</f>
        <v>#REF!</v>
      </c>
      <c r="FV5" t="e">
        <f>AND(#REF!,"AAAAAG2f/bE=")</f>
        <v>#REF!</v>
      </c>
      <c r="FW5" t="e">
        <f>AND(#REF!,"AAAAAG2f/bI=")</f>
        <v>#REF!</v>
      </c>
      <c r="FX5" t="e">
        <f>AND(#REF!,"AAAAAG2f/bM=")</f>
        <v>#REF!</v>
      </c>
      <c r="FY5" t="e">
        <f>AND(#REF!,"AAAAAG2f/bQ=")</f>
        <v>#REF!</v>
      </c>
      <c r="FZ5" t="e">
        <f>AND(#REF!,"AAAAAG2f/bU=")</f>
        <v>#REF!</v>
      </c>
      <c r="GA5" t="e">
        <f>AND(#REF!,"AAAAAG2f/bY=")</f>
        <v>#REF!</v>
      </c>
      <c r="GB5" t="e">
        <f>IF(#REF!,"AAAAAG2f/bc=",0)</f>
        <v>#REF!</v>
      </c>
      <c r="GC5" t="e">
        <f>AND(#REF!,"AAAAAG2f/bg=")</f>
        <v>#REF!</v>
      </c>
      <c r="GD5" t="e">
        <f>AND(#REF!,"AAAAAG2f/bk=")</f>
        <v>#REF!</v>
      </c>
      <c r="GE5" t="e">
        <f>AND(#REF!,"AAAAAG2f/bo=")</f>
        <v>#REF!</v>
      </c>
      <c r="GF5" t="e">
        <f>AND(#REF!,"AAAAAG2f/bs=")</f>
        <v>#REF!</v>
      </c>
      <c r="GG5" t="e">
        <f>AND(#REF!,"AAAAAG2f/bw=")</f>
        <v>#REF!</v>
      </c>
      <c r="GH5" t="e">
        <f>AND(#REF!,"AAAAAG2f/b0=")</f>
        <v>#REF!</v>
      </c>
      <c r="GI5" t="e">
        <f>AND(#REF!,"AAAAAG2f/b4=")</f>
        <v>#REF!</v>
      </c>
      <c r="GJ5" t="e">
        <f>AND(#REF!,"AAAAAG2f/b8=")</f>
        <v>#REF!</v>
      </c>
      <c r="GK5" t="e">
        <f>IF(#REF!,"AAAAAG2f/cA=",0)</f>
        <v>#REF!</v>
      </c>
      <c r="GL5" t="e">
        <f>AND(#REF!,"AAAAAG2f/cE=")</f>
        <v>#REF!</v>
      </c>
      <c r="GM5" t="e">
        <f>AND(#REF!,"AAAAAG2f/cI=")</f>
        <v>#REF!</v>
      </c>
      <c r="GN5" t="e">
        <f>AND(#REF!,"AAAAAG2f/cM=")</f>
        <v>#REF!</v>
      </c>
      <c r="GO5" t="e">
        <f>AND(#REF!,"AAAAAG2f/cQ=")</f>
        <v>#REF!</v>
      </c>
      <c r="GP5" t="e">
        <f>AND(#REF!,"AAAAAG2f/cU=")</f>
        <v>#REF!</v>
      </c>
      <c r="GQ5" t="e">
        <f>AND(#REF!,"AAAAAG2f/cY=")</f>
        <v>#REF!</v>
      </c>
      <c r="GR5" t="e">
        <f>AND(#REF!,"AAAAAG2f/cc=")</f>
        <v>#REF!</v>
      </c>
      <c r="GS5" t="e">
        <f>AND(#REF!,"AAAAAG2f/cg=")</f>
        <v>#REF!</v>
      </c>
      <c r="GT5" t="e">
        <f>IF(#REF!,"AAAAAG2f/ck=",0)</f>
        <v>#REF!</v>
      </c>
      <c r="GU5" t="e">
        <f>AND(#REF!,"AAAAAG2f/co=")</f>
        <v>#REF!</v>
      </c>
      <c r="GV5" t="e">
        <f>AND(#REF!,"AAAAAG2f/cs=")</f>
        <v>#REF!</v>
      </c>
      <c r="GW5" t="e">
        <f>AND(#REF!,"AAAAAG2f/cw=")</f>
        <v>#REF!</v>
      </c>
      <c r="GX5" t="e">
        <f>AND(#REF!,"AAAAAG2f/c0=")</f>
        <v>#REF!</v>
      </c>
      <c r="GY5" t="e">
        <f>AND(#REF!,"AAAAAG2f/c4=")</f>
        <v>#REF!</v>
      </c>
      <c r="GZ5" t="e">
        <f>AND(#REF!,"AAAAAG2f/c8=")</f>
        <v>#REF!</v>
      </c>
      <c r="HA5" t="e">
        <f>AND(#REF!,"AAAAAG2f/dA=")</f>
        <v>#REF!</v>
      </c>
      <c r="HB5" t="e">
        <f>AND(#REF!,"AAAAAG2f/dE=")</f>
        <v>#REF!</v>
      </c>
      <c r="HC5" t="e">
        <f>IF(#REF!,"AAAAAG2f/dI=",0)</f>
        <v>#REF!</v>
      </c>
      <c r="HD5" t="e">
        <f>AND(#REF!,"AAAAAG2f/dM=")</f>
        <v>#REF!</v>
      </c>
      <c r="HE5" t="e">
        <f>AND(#REF!,"AAAAAG2f/dQ=")</f>
        <v>#REF!</v>
      </c>
      <c r="HF5" t="e">
        <f>AND(#REF!,"AAAAAG2f/dU=")</f>
        <v>#REF!</v>
      </c>
      <c r="HG5" t="e">
        <f>AND(#REF!,"AAAAAG2f/dY=")</f>
        <v>#REF!</v>
      </c>
      <c r="HH5" t="e">
        <f>AND(#REF!,"AAAAAG2f/dc=")</f>
        <v>#REF!</v>
      </c>
      <c r="HI5" t="e">
        <f>AND(#REF!,"AAAAAG2f/dg=")</f>
        <v>#REF!</v>
      </c>
      <c r="HJ5" t="e">
        <f>AND(#REF!,"AAAAAG2f/dk=")</f>
        <v>#REF!</v>
      </c>
      <c r="HK5" t="e">
        <f>AND(#REF!,"AAAAAG2f/do=")</f>
        <v>#REF!</v>
      </c>
      <c r="HL5" t="e">
        <f>IF(#REF!,"AAAAAG2f/ds=",0)</f>
        <v>#REF!</v>
      </c>
      <c r="HM5" t="e">
        <f>AND(#REF!,"AAAAAG2f/dw=")</f>
        <v>#REF!</v>
      </c>
      <c r="HN5" t="e">
        <f>AND(#REF!,"AAAAAG2f/d0=")</f>
        <v>#REF!</v>
      </c>
      <c r="HO5" t="e">
        <f>AND(#REF!,"AAAAAG2f/d4=")</f>
        <v>#REF!</v>
      </c>
      <c r="HP5" t="e">
        <f>AND(#REF!,"AAAAAG2f/d8=")</f>
        <v>#REF!</v>
      </c>
      <c r="HQ5" t="e">
        <f>AND(#REF!,"AAAAAG2f/eA=")</f>
        <v>#REF!</v>
      </c>
      <c r="HR5" t="e">
        <f>AND(#REF!,"AAAAAG2f/eE=")</f>
        <v>#REF!</v>
      </c>
      <c r="HS5" t="e">
        <f>AND(#REF!,"AAAAAG2f/eI=")</f>
        <v>#REF!</v>
      </c>
      <c r="HT5" t="e">
        <f>AND(#REF!,"AAAAAG2f/eM=")</f>
        <v>#REF!</v>
      </c>
      <c r="HU5" t="e">
        <f>IF(#REF!,"AAAAAG2f/eQ=",0)</f>
        <v>#REF!</v>
      </c>
      <c r="HV5" t="e">
        <f>AND(#REF!,"AAAAAG2f/eU=")</f>
        <v>#REF!</v>
      </c>
      <c r="HW5" t="e">
        <f>AND(#REF!,"AAAAAG2f/eY=")</f>
        <v>#REF!</v>
      </c>
      <c r="HX5" t="e">
        <f>AND(#REF!,"AAAAAG2f/ec=")</f>
        <v>#REF!</v>
      </c>
      <c r="HY5" t="e">
        <f>AND(#REF!,"AAAAAG2f/eg=")</f>
        <v>#REF!</v>
      </c>
      <c r="HZ5" t="e">
        <f>AND(#REF!,"AAAAAG2f/ek=")</f>
        <v>#REF!</v>
      </c>
      <c r="IA5" t="e">
        <f>AND(#REF!,"AAAAAG2f/eo=")</f>
        <v>#REF!</v>
      </c>
      <c r="IB5" t="e">
        <f>AND(#REF!,"AAAAAG2f/es=")</f>
        <v>#REF!</v>
      </c>
      <c r="IC5" t="e">
        <f>AND(#REF!,"AAAAAG2f/ew=")</f>
        <v>#REF!</v>
      </c>
      <c r="ID5" t="e">
        <f>IF(#REF!,"AAAAAG2f/e0=",0)</f>
        <v>#REF!</v>
      </c>
      <c r="IE5" t="e">
        <f>AND(#REF!,"AAAAAG2f/e4=")</f>
        <v>#REF!</v>
      </c>
      <c r="IF5" t="e">
        <f>AND(#REF!,"AAAAAG2f/e8=")</f>
        <v>#REF!</v>
      </c>
      <c r="IG5" t="e">
        <f>AND(#REF!,"AAAAAG2f/fA=")</f>
        <v>#REF!</v>
      </c>
      <c r="IH5" t="e">
        <f>AND(#REF!,"AAAAAG2f/fE=")</f>
        <v>#REF!</v>
      </c>
      <c r="II5" t="e">
        <f>AND(#REF!,"AAAAAG2f/fI=")</f>
        <v>#REF!</v>
      </c>
      <c r="IJ5" t="e">
        <f>AND(#REF!,"AAAAAG2f/fM=")</f>
        <v>#REF!</v>
      </c>
      <c r="IK5" t="e">
        <f>AND(#REF!,"AAAAAG2f/fQ=")</f>
        <v>#REF!</v>
      </c>
      <c r="IL5" t="e">
        <f>AND(#REF!,"AAAAAG2f/fU=")</f>
        <v>#REF!</v>
      </c>
      <c r="IM5" t="e">
        <f>IF(#REF!,"AAAAAG2f/fY=",0)</f>
        <v>#REF!</v>
      </c>
      <c r="IN5" t="e">
        <f>AND(#REF!,"AAAAAG2f/fc=")</f>
        <v>#REF!</v>
      </c>
      <c r="IO5" t="e">
        <f>AND(#REF!,"AAAAAG2f/fg=")</f>
        <v>#REF!</v>
      </c>
      <c r="IP5" t="e">
        <f>AND(#REF!,"AAAAAG2f/fk=")</f>
        <v>#REF!</v>
      </c>
      <c r="IQ5" t="e">
        <f>AND(#REF!,"AAAAAG2f/fo=")</f>
        <v>#REF!</v>
      </c>
      <c r="IR5" t="e">
        <f>AND(#REF!,"AAAAAG2f/fs=")</f>
        <v>#REF!</v>
      </c>
      <c r="IS5" t="e">
        <f>AND(#REF!,"AAAAAG2f/fw=")</f>
        <v>#REF!</v>
      </c>
      <c r="IT5" t="e">
        <f>AND(#REF!,"AAAAAG2f/f0=")</f>
        <v>#REF!</v>
      </c>
      <c r="IU5" t="e">
        <f>AND(#REF!,"AAAAAG2f/f4=")</f>
        <v>#REF!</v>
      </c>
      <c r="IV5" t="e">
        <f>IF(#REF!,"AAAAAG2f/f8=",0)</f>
        <v>#REF!</v>
      </c>
    </row>
    <row r="6" spans="1:256" x14ac:dyDescent="0.25">
      <c r="A6" t="e">
        <f>AND(#REF!,"AAAAADvxbgA=")</f>
        <v>#REF!</v>
      </c>
      <c r="B6" t="e">
        <f>AND(#REF!,"AAAAADvxbgE=")</f>
        <v>#REF!</v>
      </c>
      <c r="C6" t="e">
        <f>AND(#REF!,"AAAAADvxbgI=")</f>
        <v>#REF!</v>
      </c>
      <c r="D6" t="e">
        <f>AND(#REF!,"AAAAADvxbgM=")</f>
        <v>#REF!</v>
      </c>
      <c r="E6" t="e">
        <f>AND(#REF!,"AAAAADvxbgQ=")</f>
        <v>#REF!</v>
      </c>
      <c r="F6" t="e">
        <f>AND(#REF!,"AAAAADvxbgU=")</f>
        <v>#REF!</v>
      </c>
      <c r="G6" t="e">
        <f>AND(#REF!,"AAAAADvxbgY=")</f>
        <v>#REF!</v>
      </c>
      <c r="H6" t="e">
        <f>AND(#REF!,"AAAAADvxbgc=")</f>
        <v>#REF!</v>
      </c>
      <c r="I6" t="e">
        <f>IF(#REF!,"AAAAADvxbgg=",0)</f>
        <v>#REF!</v>
      </c>
      <c r="J6" t="e">
        <f>AND(#REF!,"AAAAADvxbgk=")</f>
        <v>#REF!</v>
      </c>
      <c r="K6" t="e">
        <f>AND(#REF!,"AAAAADvxbgo=")</f>
        <v>#REF!</v>
      </c>
      <c r="L6" t="e">
        <f>AND(#REF!,"AAAAADvxbgs=")</f>
        <v>#REF!</v>
      </c>
      <c r="M6" t="e">
        <f>AND(#REF!,"AAAAADvxbgw=")</f>
        <v>#REF!</v>
      </c>
      <c r="N6" t="e">
        <f>AND(#REF!,"AAAAADvxbg0=")</f>
        <v>#REF!</v>
      </c>
      <c r="O6" t="e">
        <f>AND(#REF!,"AAAAADvxbg4=")</f>
        <v>#REF!</v>
      </c>
      <c r="P6" t="e">
        <f>AND(#REF!,"AAAAADvxbg8=")</f>
        <v>#REF!</v>
      </c>
      <c r="Q6" t="e">
        <f>AND(#REF!,"AAAAADvxbhA=")</f>
        <v>#REF!</v>
      </c>
      <c r="R6" t="e">
        <f>IF(#REF!,"AAAAADvxbhE=",0)</f>
        <v>#REF!</v>
      </c>
      <c r="S6" t="e">
        <f>AND(#REF!,"AAAAADvxbhI=")</f>
        <v>#REF!</v>
      </c>
      <c r="T6" t="e">
        <f>AND(#REF!,"AAAAADvxbhM=")</f>
        <v>#REF!</v>
      </c>
      <c r="U6" t="e">
        <f>AND(#REF!,"AAAAADvxbhQ=")</f>
        <v>#REF!</v>
      </c>
      <c r="V6" t="e">
        <f>AND(#REF!,"AAAAADvxbhU=")</f>
        <v>#REF!</v>
      </c>
      <c r="W6" t="e">
        <f>AND(#REF!,"AAAAADvxbhY=")</f>
        <v>#REF!</v>
      </c>
      <c r="X6" t="e">
        <f>AND(#REF!,"AAAAADvxbhc=")</f>
        <v>#REF!</v>
      </c>
      <c r="Y6" t="e">
        <f>AND(#REF!,"AAAAADvxbhg=")</f>
        <v>#REF!</v>
      </c>
      <c r="Z6" t="e">
        <f>AND(#REF!,"AAAAADvxbhk=")</f>
        <v>#REF!</v>
      </c>
      <c r="AA6" t="e">
        <f>IF(#REF!,"AAAAADvxbho=",0)</f>
        <v>#REF!</v>
      </c>
      <c r="AB6" t="e">
        <f>AND(#REF!,"AAAAADvxbhs=")</f>
        <v>#REF!</v>
      </c>
      <c r="AC6" t="e">
        <f>AND(#REF!,"AAAAADvxbhw=")</f>
        <v>#REF!</v>
      </c>
      <c r="AD6" t="e">
        <f>AND(#REF!,"AAAAADvxbh0=")</f>
        <v>#REF!</v>
      </c>
      <c r="AE6" t="e">
        <f>AND(#REF!,"AAAAADvxbh4=")</f>
        <v>#REF!</v>
      </c>
      <c r="AF6" t="e">
        <f>AND(#REF!,"AAAAADvxbh8=")</f>
        <v>#REF!</v>
      </c>
      <c r="AG6" t="e">
        <f>AND(#REF!,"AAAAADvxbiA=")</f>
        <v>#REF!</v>
      </c>
      <c r="AH6" t="e">
        <f>AND(#REF!,"AAAAADvxbiE=")</f>
        <v>#REF!</v>
      </c>
      <c r="AI6" t="e">
        <f>AND(#REF!,"AAAAADvxbiI=")</f>
        <v>#REF!</v>
      </c>
      <c r="AJ6" t="e">
        <f>IF(#REF!,"AAAAADvxbiM=",0)</f>
        <v>#REF!</v>
      </c>
      <c r="AK6" t="e">
        <f>AND(#REF!,"AAAAADvxbiQ=")</f>
        <v>#REF!</v>
      </c>
      <c r="AL6" t="e">
        <f>AND(#REF!,"AAAAADvxbiU=")</f>
        <v>#REF!</v>
      </c>
      <c r="AM6" t="e">
        <f>AND(#REF!,"AAAAADvxbiY=")</f>
        <v>#REF!</v>
      </c>
      <c r="AN6" t="e">
        <f>AND(#REF!,"AAAAADvxbic=")</f>
        <v>#REF!</v>
      </c>
      <c r="AO6" t="e">
        <f>AND(#REF!,"AAAAADvxbig=")</f>
        <v>#REF!</v>
      </c>
      <c r="AP6" t="e">
        <f>AND(#REF!,"AAAAADvxbik=")</f>
        <v>#REF!</v>
      </c>
      <c r="AQ6" t="e">
        <f>AND(#REF!,"AAAAADvxbio=")</f>
        <v>#REF!</v>
      </c>
      <c r="AR6" t="e">
        <f>AND(#REF!,"AAAAADvxbis=")</f>
        <v>#REF!</v>
      </c>
      <c r="AS6" t="e">
        <f>IF(#REF!,"AAAAADvxbiw=",0)</f>
        <v>#REF!</v>
      </c>
      <c r="AT6" t="e">
        <f>AND(#REF!,"AAAAADvxbi0=")</f>
        <v>#REF!</v>
      </c>
      <c r="AU6" t="e">
        <f>AND(#REF!,"AAAAADvxbi4=")</f>
        <v>#REF!</v>
      </c>
      <c r="AV6" t="e">
        <f>AND(#REF!,"AAAAADvxbi8=")</f>
        <v>#REF!</v>
      </c>
      <c r="AW6" t="e">
        <f>AND(#REF!,"AAAAADvxbjA=")</f>
        <v>#REF!</v>
      </c>
      <c r="AX6" t="e">
        <f>AND(#REF!,"AAAAADvxbjE=")</f>
        <v>#REF!</v>
      </c>
      <c r="AY6" t="e">
        <f>AND(#REF!,"AAAAADvxbjI=")</f>
        <v>#REF!</v>
      </c>
      <c r="AZ6" t="e">
        <f>AND(#REF!,"AAAAADvxbjM=")</f>
        <v>#REF!</v>
      </c>
      <c r="BA6" t="e">
        <f>AND(#REF!,"AAAAADvxbjQ=")</f>
        <v>#REF!</v>
      </c>
      <c r="BB6" t="e">
        <f>IF(#REF!,"AAAAADvxbjU=",0)</f>
        <v>#REF!</v>
      </c>
      <c r="BC6" t="e">
        <f>AND(#REF!,"AAAAADvxbjY=")</f>
        <v>#REF!</v>
      </c>
      <c r="BD6" t="e">
        <f>AND(#REF!,"AAAAADvxbjc=")</f>
        <v>#REF!</v>
      </c>
      <c r="BE6" t="e">
        <f>AND(#REF!,"AAAAADvxbjg=")</f>
        <v>#REF!</v>
      </c>
      <c r="BF6" t="e">
        <f>AND(#REF!,"AAAAADvxbjk=")</f>
        <v>#REF!</v>
      </c>
      <c r="BG6" t="e">
        <f>AND(#REF!,"AAAAADvxbjo=")</f>
        <v>#REF!</v>
      </c>
      <c r="BH6" t="e">
        <f>AND(#REF!,"AAAAADvxbjs=")</f>
        <v>#REF!</v>
      </c>
      <c r="BI6" t="e">
        <f>AND(#REF!,"AAAAADvxbjw=")</f>
        <v>#REF!</v>
      </c>
      <c r="BJ6" t="e">
        <f>AND(#REF!,"AAAAADvxbj0=")</f>
        <v>#REF!</v>
      </c>
      <c r="BK6" t="e">
        <f>IF(#REF!,"AAAAADvxbj4=",0)</f>
        <v>#REF!</v>
      </c>
      <c r="BL6" t="e">
        <f>AND(#REF!,"AAAAADvxbj8=")</f>
        <v>#REF!</v>
      </c>
      <c r="BM6" t="e">
        <f>AND(#REF!,"AAAAADvxbkA=")</f>
        <v>#REF!</v>
      </c>
      <c r="BN6" t="e">
        <f>AND(#REF!,"AAAAADvxbkE=")</f>
        <v>#REF!</v>
      </c>
      <c r="BO6" t="e">
        <f>AND(#REF!,"AAAAADvxbkI=")</f>
        <v>#REF!</v>
      </c>
      <c r="BP6" t="e">
        <f>AND(#REF!,"AAAAADvxbkM=")</f>
        <v>#REF!</v>
      </c>
      <c r="BQ6" t="e">
        <f>AND(#REF!,"AAAAADvxbkQ=")</f>
        <v>#REF!</v>
      </c>
      <c r="BR6" t="e">
        <f>AND(#REF!,"AAAAADvxbkU=")</f>
        <v>#REF!</v>
      </c>
      <c r="BS6" t="e">
        <f>AND(#REF!,"AAAAADvxbkY=")</f>
        <v>#REF!</v>
      </c>
      <c r="BT6" t="e">
        <f>IF(#REF!,"AAAAADvxbkc=",0)</f>
        <v>#REF!</v>
      </c>
      <c r="BU6" t="e">
        <f>AND(#REF!,"AAAAADvxbkg=")</f>
        <v>#REF!</v>
      </c>
      <c r="BV6" t="e">
        <f>AND(#REF!,"AAAAADvxbkk=")</f>
        <v>#REF!</v>
      </c>
      <c r="BW6" t="e">
        <f>AND(#REF!,"AAAAADvxbko=")</f>
        <v>#REF!</v>
      </c>
      <c r="BX6" t="e">
        <f>AND(#REF!,"AAAAADvxbks=")</f>
        <v>#REF!</v>
      </c>
      <c r="BY6" t="e">
        <f>AND(#REF!,"AAAAADvxbkw=")</f>
        <v>#REF!</v>
      </c>
      <c r="BZ6" t="e">
        <f>AND(#REF!,"AAAAADvxbk0=")</f>
        <v>#REF!</v>
      </c>
      <c r="CA6" t="e">
        <f>AND(#REF!,"AAAAADvxbk4=")</f>
        <v>#REF!</v>
      </c>
      <c r="CB6" t="e">
        <f>AND(#REF!,"AAAAADvxbk8=")</f>
        <v>#REF!</v>
      </c>
      <c r="CC6" t="e">
        <f>IF(#REF!,"AAAAADvxblA=",0)</f>
        <v>#REF!</v>
      </c>
      <c r="CD6" t="e">
        <f>AND(#REF!,"AAAAADvxblE=")</f>
        <v>#REF!</v>
      </c>
      <c r="CE6" t="e">
        <f>AND(#REF!,"AAAAADvxblI=")</f>
        <v>#REF!</v>
      </c>
      <c r="CF6" t="e">
        <f>AND(#REF!,"AAAAADvxblM=")</f>
        <v>#REF!</v>
      </c>
      <c r="CG6" t="e">
        <f>AND(#REF!,"AAAAADvxblQ=")</f>
        <v>#REF!</v>
      </c>
      <c r="CH6" t="e">
        <f>AND(#REF!,"AAAAADvxblU=")</f>
        <v>#REF!</v>
      </c>
      <c r="CI6" t="e">
        <f>AND(#REF!,"AAAAADvxblY=")</f>
        <v>#REF!</v>
      </c>
      <c r="CJ6" t="e">
        <f>AND(#REF!,"AAAAADvxblc=")</f>
        <v>#REF!</v>
      </c>
      <c r="CK6" t="e">
        <f>AND(#REF!,"AAAAADvxblg=")</f>
        <v>#REF!</v>
      </c>
      <c r="CL6" t="e">
        <f>IF(#REF!,"AAAAADvxblk=",0)</f>
        <v>#REF!</v>
      </c>
      <c r="CM6" t="e">
        <f>AND(#REF!,"AAAAADvxblo=")</f>
        <v>#REF!</v>
      </c>
      <c r="CN6" t="e">
        <f>AND(#REF!,"AAAAADvxbls=")</f>
        <v>#REF!</v>
      </c>
      <c r="CO6" t="e">
        <f>AND(#REF!,"AAAAADvxblw=")</f>
        <v>#REF!</v>
      </c>
      <c r="CP6" t="e">
        <f>AND(#REF!,"AAAAADvxbl0=")</f>
        <v>#REF!</v>
      </c>
      <c r="CQ6" t="e">
        <f>AND(#REF!,"AAAAADvxbl4=")</f>
        <v>#REF!</v>
      </c>
      <c r="CR6" t="e">
        <f>AND(#REF!,"AAAAADvxbl8=")</f>
        <v>#REF!</v>
      </c>
      <c r="CS6" t="e">
        <f>AND(#REF!,"AAAAADvxbmA=")</f>
        <v>#REF!</v>
      </c>
      <c r="CT6" t="e">
        <f>AND(#REF!,"AAAAADvxbmE=")</f>
        <v>#REF!</v>
      </c>
      <c r="CU6" t="e">
        <f>IF(#REF!,"AAAAADvxbmI=",0)</f>
        <v>#REF!</v>
      </c>
      <c r="CV6" t="e">
        <f>AND(#REF!,"AAAAADvxbmM=")</f>
        <v>#REF!</v>
      </c>
      <c r="CW6" t="e">
        <f>AND(#REF!,"AAAAADvxbmQ=")</f>
        <v>#REF!</v>
      </c>
      <c r="CX6" t="e">
        <f>AND(#REF!,"AAAAADvxbmU=")</f>
        <v>#REF!</v>
      </c>
      <c r="CY6" t="e">
        <f>AND(#REF!,"AAAAADvxbmY=")</f>
        <v>#REF!</v>
      </c>
      <c r="CZ6" t="e">
        <f>AND(#REF!,"AAAAADvxbmc=")</f>
        <v>#REF!</v>
      </c>
      <c r="DA6" t="e">
        <f>AND(#REF!,"AAAAADvxbmg=")</f>
        <v>#REF!</v>
      </c>
      <c r="DB6" t="e">
        <f>AND(#REF!,"AAAAADvxbmk=")</f>
        <v>#REF!</v>
      </c>
      <c r="DC6" t="e">
        <f>AND(#REF!,"AAAAADvxbmo=")</f>
        <v>#REF!</v>
      </c>
      <c r="DD6" t="e">
        <f>IF(#REF!,"AAAAADvxbms=",0)</f>
        <v>#REF!</v>
      </c>
      <c r="DE6" t="e">
        <f>AND(#REF!,"AAAAADvxbmw=")</f>
        <v>#REF!</v>
      </c>
      <c r="DF6" t="e">
        <f>AND(#REF!,"AAAAADvxbm0=")</f>
        <v>#REF!</v>
      </c>
      <c r="DG6" t="e">
        <f>AND(#REF!,"AAAAADvxbm4=")</f>
        <v>#REF!</v>
      </c>
      <c r="DH6" t="e">
        <f>AND(#REF!,"AAAAADvxbm8=")</f>
        <v>#REF!</v>
      </c>
      <c r="DI6" t="e">
        <f>AND(#REF!,"AAAAADvxbnA=")</f>
        <v>#REF!</v>
      </c>
      <c r="DJ6" t="e">
        <f>AND(#REF!,"AAAAADvxbnE=")</f>
        <v>#REF!</v>
      </c>
      <c r="DK6" t="e">
        <f>AND(#REF!,"AAAAADvxbnI=")</f>
        <v>#REF!</v>
      </c>
      <c r="DL6" t="e">
        <f>AND(#REF!,"AAAAADvxbnM=")</f>
        <v>#REF!</v>
      </c>
      <c r="DM6" t="e">
        <f>IF(#REF!,"AAAAADvxbnQ=",0)</f>
        <v>#REF!</v>
      </c>
      <c r="DN6" t="e">
        <f>AND(#REF!,"AAAAADvxbnU=")</f>
        <v>#REF!</v>
      </c>
      <c r="DO6" t="e">
        <f>AND(#REF!,"AAAAADvxbnY=")</f>
        <v>#REF!</v>
      </c>
      <c r="DP6" t="e">
        <f>AND(#REF!,"AAAAADvxbnc=")</f>
        <v>#REF!</v>
      </c>
      <c r="DQ6" t="e">
        <f>AND(#REF!,"AAAAADvxbng=")</f>
        <v>#REF!</v>
      </c>
      <c r="DR6" t="e">
        <f>AND(#REF!,"AAAAADvxbnk=")</f>
        <v>#REF!</v>
      </c>
      <c r="DS6" t="e">
        <f>AND(#REF!,"AAAAADvxbno=")</f>
        <v>#REF!</v>
      </c>
      <c r="DT6" t="e">
        <f>AND(#REF!,"AAAAADvxbns=")</f>
        <v>#REF!</v>
      </c>
      <c r="DU6" t="e">
        <f>AND(#REF!,"AAAAADvxbnw=")</f>
        <v>#REF!</v>
      </c>
      <c r="DV6" t="e">
        <f>IF(#REF!,"AAAAADvxbn0=",0)</f>
        <v>#REF!</v>
      </c>
      <c r="DW6" t="e">
        <f>AND(#REF!,"AAAAADvxbn4=")</f>
        <v>#REF!</v>
      </c>
      <c r="DX6" t="e">
        <f>AND(#REF!,"AAAAADvxbn8=")</f>
        <v>#REF!</v>
      </c>
      <c r="DY6" t="e">
        <f>AND(#REF!,"AAAAADvxboA=")</f>
        <v>#REF!</v>
      </c>
      <c r="DZ6" t="e">
        <f>AND(#REF!,"AAAAADvxboE=")</f>
        <v>#REF!</v>
      </c>
      <c r="EA6" t="e">
        <f>AND(#REF!,"AAAAADvxboI=")</f>
        <v>#REF!</v>
      </c>
      <c r="EB6" t="e">
        <f>AND(#REF!,"AAAAADvxboM=")</f>
        <v>#REF!</v>
      </c>
      <c r="EC6" t="e">
        <f>AND(#REF!,"AAAAADvxboQ=")</f>
        <v>#REF!</v>
      </c>
      <c r="ED6" t="e">
        <f>AND(#REF!,"AAAAADvxboU=")</f>
        <v>#REF!</v>
      </c>
      <c r="EE6" t="e">
        <f>IF(#REF!,"AAAAADvxboY=",0)</f>
        <v>#REF!</v>
      </c>
      <c r="EF6" t="e">
        <f>AND(#REF!,"AAAAADvxboc=")</f>
        <v>#REF!</v>
      </c>
      <c r="EG6" t="e">
        <f>AND(#REF!,"AAAAADvxbog=")</f>
        <v>#REF!</v>
      </c>
      <c r="EH6" t="e">
        <f>AND(#REF!,"AAAAADvxbok=")</f>
        <v>#REF!</v>
      </c>
      <c r="EI6" t="e">
        <f>AND(#REF!,"AAAAADvxboo=")</f>
        <v>#REF!</v>
      </c>
      <c r="EJ6" t="e">
        <f>AND(#REF!,"AAAAADvxbos=")</f>
        <v>#REF!</v>
      </c>
      <c r="EK6" t="e">
        <f>AND(#REF!,"AAAAADvxbow=")</f>
        <v>#REF!</v>
      </c>
      <c r="EL6" t="e">
        <f>AND(#REF!,"AAAAADvxbo0=")</f>
        <v>#REF!</v>
      </c>
      <c r="EM6" t="e">
        <f>AND(#REF!,"AAAAADvxbo4=")</f>
        <v>#REF!</v>
      </c>
      <c r="EN6" t="e">
        <f>IF(#REF!,"AAAAADvxbo8=",0)</f>
        <v>#REF!</v>
      </c>
      <c r="EO6" t="e">
        <f>AND(#REF!,"AAAAADvxbpA=")</f>
        <v>#REF!</v>
      </c>
      <c r="EP6" t="e">
        <f>AND(#REF!,"AAAAADvxbpE=")</f>
        <v>#REF!</v>
      </c>
      <c r="EQ6" t="e">
        <f>AND(#REF!,"AAAAADvxbpI=")</f>
        <v>#REF!</v>
      </c>
      <c r="ER6" t="e">
        <f>AND(#REF!,"AAAAADvxbpM=")</f>
        <v>#REF!</v>
      </c>
      <c r="ES6" t="e">
        <f>AND(#REF!,"AAAAADvxbpQ=")</f>
        <v>#REF!</v>
      </c>
      <c r="ET6" t="e">
        <f>AND(#REF!,"AAAAADvxbpU=")</f>
        <v>#REF!</v>
      </c>
      <c r="EU6" t="e">
        <f>AND(#REF!,"AAAAADvxbpY=")</f>
        <v>#REF!</v>
      </c>
      <c r="EV6" t="e">
        <f>AND(#REF!,"AAAAADvxbpc=")</f>
        <v>#REF!</v>
      </c>
      <c r="EW6" t="e">
        <f>IF(#REF!,"AAAAADvxbpg=",0)</f>
        <v>#REF!</v>
      </c>
      <c r="EX6" t="e">
        <f>AND(#REF!,"AAAAADvxbpk=")</f>
        <v>#REF!</v>
      </c>
      <c r="EY6" t="e">
        <f>AND(#REF!,"AAAAADvxbpo=")</f>
        <v>#REF!</v>
      </c>
      <c r="EZ6" t="e">
        <f>AND(#REF!,"AAAAADvxbps=")</f>
        <v>#REF!</v>
      </c>
      <c r="FA6" t="e">
        <f>AND(#REF!,"AAAAADvxbpw=")</f>
        <v>#REF!</v>
      </c>
      <c r="FB6" t="e">
        <f>AND(#REF!,"AAAAADvxbp0=")</f>
        <v>#REF!</v>
      </c>
      <c r="FC6" t="e">
        <f>AND(#REF!,"AAAAADvxbp4=")</f>
        <v>#REF!</v>
      </c>
      <c r="FD6" t="e">
        <f>AND(#REF!,"AAAAADvxbp8=")</f>
        <v>#REF!</v>
      </c>
      <c r="FE6" t="e">
        <f>AND(#REF!,"AAAAADvxbqA=")</f>
        <v>#REF!</v>
      </c>
      <c r="FF6" t="e">
        <f>IF(#REF!,"AAAAADvxbqE=",0)</f>
        <v>#REF!</v>
      </c>
      <c r="FG6" t="e">
        <f>AND(#REF!,"AAAAADvxbqI=")</f>
        <v>#REF!</v>
      </c>
      <c r="FH6" t="e">
        <f>AND(#REF!,"AAAAADvxbqM=")</f>
        <v>#REF!</v>
      </c>
      <c r="FI6" t="e">
        <f>AND(#REF!,"AAAAADvxbqQ=")</f>
        <v>#REF!</v>
      </c>
      <c r="FJ6" t="e">
        <f>AND(#REF!,"AAAAADvxbqU=")</f>
        <v>#REF!</v>
      </c>
      <c r="FK6" t="e">
        <f>AND(#REF!,"AAAAADvxbqY=")</f>
        <v>#REF!</v>
      </c>
      <c r="FL6" t="e">
        <f>AND(#REF!,"AAAAADvxbqc=")</f>
        <v>#REF!</v>
      </c>
      <c r="FM6" t="e">
        <f>AND(#REF!,"AAAAADvxbqg=")</f>
        <v>#REF!</v>
      </c>
      <c r="FN6" t="e">
        <f>AND(#REF!,"AAAAADvxbqk=")</f>
        <v>#REF!</v>
      </c>
      <c r="FO6" t="e">
        <f>IF(#REF!,"AAAAADvxbqo=",0)</f>
        <v>#REF!</v>
      </c>
      <c r="FP6" t="e">
        <f>AND(#REF!,"AAAAADvxbqs=")</f>
        <v>#REF!</v>
      </c>
      <c r="FQ6" t="e">
        <f>AND(#REF!,"AAAAADvxbqw=")</f>
        <v>#REF!</v>
      </c>
      <c r="FR6" t="e">
        <f>AND(#REF!,"AAAAADvxbq0=")</f>
        <v>#REF!</v>
      </c>
      <c r="FS6" t="e">
        <f>AND(#REF!,"AAAAADvxbq4=")</f>
        <v>#REF!</v>
      </c>
      <c r="FT6" t="e">
        <f>AND(#REF!,"AAAAADvxbq8=")</f>
        <v>#REF!</v>
      </c>
      <c r="FU6" t="e">
        <f>AND(#REF!,"AAAAADvxbrA=")</f>
        <v>#REF!</v>
      </c>
      <c r="FV6" t="e">
        <f>AND(#REF!,"AAAAADvxbrE=")</f>
        <v>#REF!</v>
      </c>
      <c r="FW6" t="e">
        <f>AND(#REF!,"AAAAADvxbrI=")</f>
        <v>#REF!</v>
      </c>
      <c r="FX6" t="e">
        <f>IF(#REF!,"AAAAADvxbrM=",0)</f>
        <v>#REF!</v>
      </c>
      <c r="FY6" t="e">
        <f>AND(#REF!,"AAAAADvxbrQ=")</f>
        <v>#REF!</v>
      </c>
      <c r="FZ6" t="e">
        <f>AND(#REF!,"AAAAADvxbrU=")</f>
        <v>#REF!</v>
      </c>
      <c r="GA6" t="e">
        <f>AND(#REF!,"AAAAADvxbrY=")</f>
        <v>#REF!</v>
      </c>
      <c r="GB6" t="e">
        <f>AND(#REF!,"AAAAADvxbrc=")</f>
        <v>#REF!</v>
      </c>
      <c r="GC6" t="e">
        <f>AND(#REF!,"AAAAADvxbrg=")</f>
        <v>#REF!</v>
      </c>
      <c r="GD6" t="e">
        <f>AND(#REF!,"AAAAADvxbrk=")</f>
        <v>#REF!</v>
      </c>
      <c r="GE6" t="e">
        <f>AND(#REF!,"AAAAADvxbro=")</f>
        <v>#REF!</v>
      </c>
      <c r="GF6" t="e">
        <f>AND(#REF!,"AAAAADvxbrs=")</f>
        <v>#REF!</v>
      </c>
      <c r="GG6" t="e">
        <f>IF(#REF!,"AAAAADvxbrw=",0)</f>
        <v>#REF!</v>
      </c>
      <c r="GH6" t="e">
        <f>AND(#REF!,"AAAAADvxbr0=")</f>
        <v>#REF!</v>
      </c>
      <c r="GI6" t="e">
        <f>AND(#REF!,"AAAAADvxbr4=")</f>
        <v>#REF!</v>
      </c>
      <c r="GJ6" t="e">
        <f>AND(#REF!,"AAAAADvxbr8=")</f>
        <v>#REF!</v>
      </c>
      <c r="GK6" t="e">
        <f>AND(#REF!,"AAAAADvxbsA=")</f>
        <v>#REF!</v>
      </c>
      <c r="GL6" t="e">
        <f>AND(#REF!,"AAAAADvxbsE=")</f>
        <v>#REF!</v>
      </c>
      <c r="GM6" t="e">
        <f>AND(#REF!,"AAAAADvxbsI=")</f>
        <v>#REF!</v>
      </c>
      <c r="GN6" t="e">
        <f>AND(#REF!,"AAAAADvxbsM=")</f>
        <v>#REF!</v>
      </c>
      <c r="GO6" t="e">
        <f>AND(#REF!,"AAAAADvxbsQ=")</f>
        <v>#REF!</v>
      </c>
      <c r="GP6" t="e">
        <f>IF(#REF!,"AAAAADvxbsU=",0)</f>
        <v>#REF!</v>
      </c>
      <c r="GQ6" t="e">
        <f>AND(#REF!,"AAAAADvxbsY=")</f>
        <v>#REF!</v>
      </c>
      <c r="GR6" t="e">
        <f>AND(#REF!,"AAAAADvxbsc=")</f>
        <v>#REF!</v>
      </c>
      <c r="GS6" t="e">
        <f>AND(#REF!,"AAAAADvxbsg=")</f>
        <v>#REF!</v>
      </c>
      <c r="GT6" t="e">
        <f>AND(#REF!,"AAAAADvxbsk=")</f>
        <v>#REF!</v>
      </c>
      <c r="GU6" t="e">
        <f>AND(#REF!,"AAAAADvxbso=")</f>
        <v>#REF!</v>
      </c>
      <c r="GV6" t="e">
        <f>AND(#REF!,"AAAAADvxbss=")</f>
        <v>#REF!</v>
      </c>
      <c r="GW6" t="e">
        <f>AND(#REF!,"AAAAADvxbsw=")</f>
        <v>#REF!</v>
      </c>
      <c r="GX6" t="e">
        <f>AND(#REF!,"AAAAADvxbs0=")</f>
        <v>#REF!</v>
      </c>
      <c r="GY6" t="e">
        <f>IF(#REF!,"AAAAADvxbs4=",0)</f>
        <v>#REF!</v>
      </c>
      <c r="GZ6" t="e">
        <f>AND(#REF!,"AAAAADvxbs8=")</f>
        <v>#REF!</v>
      </c>
      <c r="HA6" t="e">
        <f>AND(#REF!,"AAAAADvxbtA=")</f>
        <v>#REF!</v>
      </c>
      <c r="HB6" t="e">
        <f>AND(#REF!,"AAAAADvxbtE=")</f>
        <v>#REF!</v>
      </c>
      <c r="HC6" t="e">
        <f>AND(#REF!,"AAAAADvxbtI=")</f>
        <v>#REF!</v>
      </c>
      <c r="HD6" t="e">
        <f>AND(#REF!,"AAAAADvxbtM=")</f>
        <v>#REF!</v>
      </c>
      <c r="HE6" t="e">
        <f>AND(#REF!,"AAAAADvxbtQ=")</f>
        <v>#REF!</v>
      </c>
      <c r="HF6" t="e">
        <f>AND(#REF!,"AAAAADvxbtU=")</f>
        <v>#REF!</v>
      </c>
      <c r="HG6" t="e">
        <f>AND(#REF!,"AAAAADvxbtY=")</f>
        <v>#REF!</v>
      </c>
      <c r="HH6" t="e">
        <f>IF(#REF!,"AAAAADvxbtc=",0)</f>
        <v>#REF!</v>
      </c>
      <c r="HI6" t="e">
        <f>AND(#REF!,"AAAAADvxbtg=")</f>
        <v>#REF!</v>
      </c>
      <c r="HJ6" t="e">
        <f>AND(#REF!,"AAAAADvxbtk=")</f>
        <v>#REF!</v>
      </c>
      <c r="HK6" t="e">
        <f>AND(#REF!,"AAAAADvxbto=")</f>
        <v>#REF!</v>
      </c>
      <c r="HL6" t="e">
        <f>AND(#REF!,"AAAAADvxbts=")</f>
        <v>#REF!</v>
      </c>
      <c r="HM6" t="e">
        <f>AND(#REF!,"AAAAADvxbtw=")</f>
        <v>#REF!</v>
      </c>
      <c r="HN6" t="e">
        <f>AND(#REF!,"AAAAADvxbt0=")</f>
        <v>#REF!</v>
      </c>
      <c r="HO6" t="e">
        <f>AND(#REF!,"AAAAADvxbt4=")</f>
        <v>#REF!</v>
      </c>
      <c r="HP6" t="e">
        <f>AND(#REF!,"AAAAADvxbt8=")</f>
        <v>#REF!</v>
      </c>
      <c r="HQ6" t="e">
        <f>IF(#REF!,"AAAAADvxbuA=",0)</f>
        <v>#REF!</v>
      </c>
      <c r="HR6" t="e">
        <f>AND(#REF!,"AAAAADvxbuE=")</f>
        <v>#REF!</v>
      </c>
      <c r="HS6" t="e">
        <f>AND(#REF!,"AAAAADvxbuI=")</f>
        <v>#REF!</v>
      </c>
      <c r="HT6" t="e">
        <f>AND(#REF!,"AAAAADvxbuM=")</f>
        <v>#REF!</v>
      </c>
      <c r="HU6" t="e">
        <f>AND(#REF!,"AAAAADvxbuQ=")</f>
        <v>#REF!</v>
      </c>
      <c r="HV6" t="e">
        <f>AND(#REF!,"AAAAADvxbuU=")</f>
        <v>#REF!</v>
      </c>
      <c r="HW6" t="e">
        <f>AND(#REF!,"AAAAADvxbuY=")</f>
        <v>#REF!</v>
      </c>
      <c r="HX6" t="e">
        <f>AND(#REF!,"AAAAADvxbuc=")</f>
        <v>#REF!</v>
      </c>
      <c r="HY6" t="e">
        <f>AND(#REF!,"AAAAADvxbug=")</f>
        <v>#REF!</v>
      </c>
      <c r="HZ6" t="e">
        <f>IF(#REF!,"AAAAADvxbuk=",0)</f>
        <v>#REF!</v>
      </c>
      <c r="IA6" t="e">
        <f>AND(#REF!,"AAAAADvxbuo=")</f>
        <v>#REF!</v>
      </c>
      <c r="IB6" t="e">
        <f>AND(#REF!,"AAAAADvxbus=")</f>
        <v>#REF!</v>
      </c>
      <c r="IC6" t="e">
        <f>AND(#REF!,"AAAAADvxbuw=")</f>
        <v>#REF!</v>
      </c>
      <c r="ID6" t="e">
        <f>AND(#REF!,"AAAAADvxbu0=")</f>
        <v>#REF!</v>
      </c>
      <c r="IE6" t="e">
        <f>AND(#REF!,"AAAAADvxbu4=")</f>
        <v>#REF!</v>
      </c>
      <c r="IF6" t="e">
        <f>AND(#REF!,"AAAAADvxbu8=")</f>
        <v>#REF!</v>
      </c>
      <c r="IG6" t="e">
        <f>AND(#REF!,"AAAAADvxbvA=")</f>
        <v>#REF!</v>
      </c>
      <c r="IH6" t="e">
        <f>AND(#REF!,"AAAAADvxbvE=")</f>
        <v>#REF!</v>
      </c>
      <c r="II6" t="e">
        <f>IF(#REF!,"AAAAADvxbvI=",0)</f>
        <v>#REF!</v>
      </c>
      <c r="IJ6" t="e">
        <f>AND(#REF!,"AAAAADvxbvM=")</f>
        <v>#REF!</v>
      </c>
      <c r="IK6" t="e">
        <f>AND(#REF!,"AAAAADvxbvQ=")</f>
        <v>#REF!</v>
      </c>
      <c r="IL6" t="e">
        <f>AND(#REF!,"AAAAADvxbvU=")</f>
        <v>#REF!</v>
      </c>
      <c r="IM6" t="e">
        <f>AND(#REF!,"AAAAADvxbvY=")</f>
        <v>#REF!</v>
      </c>
      <c r="IN6" t="e">
        <f>AND(#REF!,"AAAAADvxbvc=")</f>
        <v>#REF!</v>
      </c>
      <c r="IO6" t="e">
        <f>AND(#REF!,"AAAAADvxbvg=")</f>
        <v>#REF!</v>
      </c>
      <c r="IP6" t="e">
        <f>AND(#REF!,"AAAAADvxbvk=")</f>
        <v>#REF!</v>
      </c>
      <c r="IQ6" t="e">
        <f>AND(#REF!,"AAAAADvxbvo=")</f>
        <v>#REF!</v>
      </c>
      <c r="IR6" t="e">
        <f>IF(#REF!,"AAAAADvxbvs=",0)</f>
        <v>#REF!</v>
      </c>
      <c r="IS6" t="e">
        <f>AND(#REF!,"AAAAADvxbvw=")</f>
        <v>#REF!</v>
      </c>
      <c r="IT6" t="e">
        <f>AND(#REF!,"AAAAADvxbv0=")</f>
        <v>#REF!</v>
      </c>
      <c r="IU6" t="e">
        <f>AND(#REF!,"AAAAADvxbv4=")</f>
        <v>#REF!</v>
      </c>
      <c r="IV6" t="e">
        <f>AND(#REF!,"AAAAADvxbv8=")</f>
        <v>#REF!</v>
      </c>
    </row>
    <row r="7" spans="1:256" x14ac:dyDescent="0.25">
      <c r="A7" t="e">
        <f>AND(#REF!,"AAAAAD9OKwA=")</f>
        <v>#REF!</v>
      </c>
      <c r="B7" t="e">
        <f>AND(#REF!,"AAAAAD9OKwE=")</f>
        <v>#REF!</v>
      </c>
      <c r="C7" t="e">
        <f>AND(#REF!,"AAAAAD9OKwI=")</f>
        <v>#REF!</v>
      </c>
      <c r="D7" t="e">
        <f>AND(#REF!,"AAAAAD9OKwM=")</f>
        <v>#REF!</v>
      </c>
      <c r="E7" t="e">
        <f>IF(#REF!,"AAAAAD9OKwQ=",0)</f>
        <v>#REF!</v>
      </c>
      <c r="F7" t="e">
        <f>AND(#REF!,"AAAAAD9OKwU=")</f>
        <v>#REF!</v>
      </c>
      <c r="G7" t="e">
        <f>AND(#REF!,"AAAAAD9OKwY=")</f>
        <v>#REF!</v>
      </c>
      <c r="H7" t="e">
        <f>AND(#REF!,"AAAAAD9OKwc=")</f>
        <v>#REF!</v>
      </c>
      <c r="I7" t="e">
        <f>AND(#REF!,"AAAAAD9OKwg=")</f>
        <v>#REF!</v>
      </c>
      <c r="J7" t="e">
        <f>AND(#REF!,"AAAAAD9OKwk=")</f>
        <v>#REF!</v>
      </c>
      <c r="K7" t="e">
        <f>AND(#REF!,"AAAAAD9OKwo=")</f>
        <v>#REF!</v>
      </c>
      <c r="L7" t="e">
        <f>AND(#REF!,"AAAAAD9OKws=")</f>
        <v>#REF!</v>
      </c>
      <c r="M7" t="e">
        <f>AND(#REF!,"AAAAAD9OKww=")</f>
        <v>#REF!</v>
      </c>
      <c r="N7" t="e">
        <f>IF(#REF!,"AAAAAD9OKw0=",0)</f>
        <v>#REF!</v>
      </c>
      <c r="O7" t="e">
        <f>AND(#REF!,"AAAAAD9OKw4=")</f>
        <v>#REF!</v>
      </c>
      <c r="P7" t="e">
        <f>AND(#REF!,"AAAAAD9OKw8=")</f>
        <v>#REF!</v>
      </c>
      <c r="Q7" t="e">
        <f>AND(#REF!,"AAAAAD9OKxA=")</f>
        <v>#REF!</v>
      </c>
      <c r="R7" t="e">
        <f>AND(#REF!,"AAAAAD9OKxE=")</f>
        <v>#REF!</v>
      </c>
      <c r="S7" t="e">
        <f>AND(#REF!,"AAAAAD9OKxI=")</f>
        <v>#REF!</v>
      </c>
      <c r="T7" t="e">
        <f>AND(#REF!,"AAAAAD9OKxM=")</f>
        <v>#REF!</v>
      </c>
      <c r="U7" t="e">
        <f>AND(#REF!,"AAAAAD9OKxQ=")</f>
        <v>#REF!</v>
      </c>
      <c r="V7" t="e">
        <f>AND(#REF!,"AAAAAD9OKxU=")</f>
        <v>#REF!</v>
      </c>
      <c r="W7" t="e">
        <f>IF(#REF!,"AAAAAD9OKxY=",0)</f>
        <v>#REF!</v>
      </c>
      <c r="X7" t="e">
        <f>AND(#REF!,"AAAAAD9OKxc=")</f>
        <v>#REF!</v>
      </c>
      <c r="Y7" t="e">
        <f>AND(#REF!,"AAAAAD9OKxg=")</f>
        <v>#REF!</v>
      </c>
      <c r="Z7" t="e">
        <f>AND(#REF!,"AAAAAD9OKxk=")</f>
        <v>#REF!</v>
      </c>
      <c r="AA7" t="e">
        <f>AND(#REF!,"AAAAAD9OKxo=")</f>
        <v>#REF!</v>
      </c>
      <c r="AB7" t="e">
        <f>AND(#REF!,"AAAAAD9OKxs=")</f>
        <v>#REF!</v>
      </c>
      <c r="AC7" t="e">
        <f>AND(#REF!,"AAAAAD9OKxw=")</f>
        <v>#REF!</v>
      </c>
      <c r="AD7" t="e">
        <f>AND(#REF!,"AAAAAD9OKx0=")</f>
        <v>#REF!</v>
      </c>
      <c r="AE7" t="e">
        <f>AND(#REF!,"AAAAAD9OKx4=")</f>
        <v>#REF!</v>
      </c>
      <c r="AF7" t="e">
        <f>IF(#REF!,"AAAAAD9OKx8=",0)</f>
        <v>#REF!</v>
      </c>
      <c r="AG7" t="e">
        <f>AND(#REF!,"AAAAAD9OKyA=")</f>
        <v>#REF!</v>
      </c>
      <c r="AH7" t="e">
        <f>AND(#REF!,"AAAAAD9OKyE=")</f>
        <v>#REF!</v>
      </c>
      <c r="AI7" t="e">
        <f>AND(#REF!,"AAAAAD9OKyI=")</f>
        <v>#REF!</v>
      </c>
      <c r="AJ7" t="e">
        <f>AND(#REF!,"AAAAAD9OKyM=")</f>
        <v>#REF!</v>
      </c>
      <c r="AK7" t="e">
        <f>AND(#REF!,"AAAAAD9OKyQ=")</f>
        <v>#REF!</v>
      </c>
      <c r="AL7" t="e">
        <f>AND(#REF!,"AAAAAD9OKyU=")</f>
        <v>#REF!</v>
      </c>
      <c r="AM7" t="e">
        <f>AND(#REF!,"AAAAAD9OKyY=")</f>
        <v>#REF!</v>
      </c>
      <c r="AN7" t="e">
        <f>AND(#REF!,"AAAAAD9OKyc=")</f>
        <v>#REF!</v>
      </c>
      <c r="AO7" t="e">
        <f>IF(#REF!,"AAAAAD9OKyg=",0)</f>
        <v>#REF!</v>
      </c>
      <c r="AP7" t="e">
        <f>AND(#REF!,"AAAAAD9OKyk=")</f>
        <v>#REF!</v>
      </c>
      <c r="AQ7" t="e">
        <f>AND(#REF!,"AAAAAD9OKyo=")</f>
        <v>#REF!</v>
      </c>
      <c r="AR7" t="e">
        <f>AND(#REF!,"AAAAAD9OKys=")</f>
        <v>#REF!</v>
      </c>
      <c r="AS7" t="e">
        <f>AND(#REF!,"AAAAAD9OKyw=")</f>
        <v>#REF!</v>
      </c>
      <c r="AT7" t="e">
        <f>AND(#REF!,"AAAAAD9OKy0=")</f>
        <v>#REF!</v>
      </c>
      <c r="AU7" t="e">
        <f>AND(#REF!,"AAAAAD9OKy4=")</f>
        <v>#REF!</v>
      </c>
      <c r="AV7" t="e">
        <f>AND(#REF!,"AAAAAD9OKy8=")</f>
        <v>#REF!</v>
      </c>
      <c r="AW7" t="e">
        <f>AND(#REF!,"AAAAAD9OKzA=")</f>
        <v>#REF!</v>
      </c>
      <c r="AX7" t="e">
        <f>IF(#REF!,"AAAAAD9OKzE=",0)</f>
        <v>#REF!</v>
      </c>
      <c r="AY7" t="e">
        <f>AND(#REF!,"AAAAAD9OKzI=")</f>
        <v>#REF!</v>
      </c>
      <c r="AZ7" t="e">
        <f>AND(#REF!,"AAAAAD9OKzM=")</f>
        <v>#REF!</v>
      </c>
      <c r="BA7" t="e">
        <f>AND(#REF!,"AAAAAD9OKzQ=")</f>
        <v>#REF!</v>
      </c>
      <c r="BB7" t="e">
        <f>AND(#REF!,"AAAAAD9OKzU=")</f>
        <v>#REF!</v>
      </c>
      <c r="BC7" t="e">
        <f>AND(#REF!,"AAAAAD9OKzY=")</f>
        <v>#REF!</v>
      </c>
      <c r="BD7" t="e">
        <f>AND(#REF!,"AAAAAD9OKzc=")</f>
        <v>#REF!</v>
      </c>
      <c r="BE7" t="e">
        <f>AND(#REF!,"AAAAAD9OKzg=")</f>
        <v>#REF!</v>
      </c>
      <c r="BF7" t="e">
        <f>AND(#REF!,"AAAAAD9OKzk=")</f>
        <v>#REF!</v>
      </c>
      <c r="BG7" t="e">
        <f>IF(#REF!,"AAAAAD9OKzo=",0)</f>
        <v>#REF!</v>
      </c>
      <c r="BH7" t="e">
        <f>AND(#REF!,"AAAAAD9OKzs=")</f>
        <v>#REF!</v>
      </c>
      <c r="BI7" t="e">
        <f>AND(#REF!,"AAAAAD9OKzw=")</f>
        <v>#REF!</v>
      </c>
      <c r="BJ7" t="e">
        <f>AND(#REF!,"AAAAAD9OKz0=")</f>
        <v>#REF!</v>
      </c>
      <c r="BK7" t="e">
        <f>AND(#REF!,"AAAAAD9OKz4=")</f>
        <v>#REF!</v>
      </c>
      <c r="BL7" t="e">
        <f>AND(#REF!,"AAAAAD9OKz8=")</f>
        <v>#REF!</v>
      </c>
      <c r="BM7" t="e">
        <f>AND(#REF!,"AAAAAD9OK0A=")</f>
        <v>#REF!</v>
      </c>
      <c r="BN7" t="e">
        <f>AND(#REF!,"AAAAAD9OK0E=")</f>
        <v>#REF!</v>
      </c>
      <c r="BO7" t="e">
        <f>AND(#REF!,"AAAAAD9OK0I=")</f>
        <v>#REF!</v>
      </c>
      <c r="BP7" t="e">
        <f>IF(#REF!,"AAAAAD9OK0M=",0)</f>
        <v>#REF!</v>
      </c>
      <c r="BQ7" t="e">
        <f>AND(#REF!,"AAAAAD9OK0Q=")</f>
        <v>#REF!</v>
      </c>
      <c r="BR7" t="e">
        <f>AND(#REF!,"AAAAAD9OK0U=")</f>
        <v>#REF!</v>
      </c>
      <c r="BS7" t="e">
        <f>AND(#REF!,"AAAAAD9OK0Y=")</f>
        <v>#REF!</v>
      </c>
      <c r="BT7" t="e">
        <f>AND(#REF!,"AAAAAD9OK0c=")</f>
        <v>#REF!</v>
      </c>
      <c r="BU7" t="e">
        <f>AND(#REF!,"AAAAAD9OK0g=")</f>
        <v>#REF!</v>
      </c>
      <c r="BV7" t="e">
        <f>AND(#REF!,"AAAAAD9OK0k=")</f>
        <v>#REF!</v>
      </c>
      <c r="BW7" t="e">
        <f>AND(#REF!,"AAAAAD9OK0o=")</f>
        <v>#REF!</v>
      </c>
      <c r="BX7" t="e">
        <f>AND(#REF!,"AAAAAD9OK0s=")</f>
        <v>#REF!</v>
      </c>
      <c r="BY7" t="e">
        <f>IF(#REF!,"AAAAAD9OK0w=",0)</f>
        <v>#REF!</v>
      </c>
      <c r="BZ7" t="e">
        <f>AND(#REF!,"AAAAAD9OK00=")</f>
        <v>#REF!</v>
      </c>
      <c r="CA7" t="e">
        <f>AND(#REF!,"AAAAAD9OK04=")</f>
        <v>#REF!</v>
      </c>
      <c r="CB7" t="e">
        <f>AND(#REF!,"AAAAAD9OK08=")</f>
        <v>#REF!</v>
      </c>
      <c r="CC7" t="e">
        <f>AND(#REF!,"AAAAAD9OK1A=")</f>
        <v>#REF!</v>
      </c>
      <c r="CD7" t="e">
        <f>AND(#REF!,"AAAAAD9OK1E=")</f>
        <v>#REF!</v>
      </c>
      <c r="CE7" t="e">
        <f>AND(#REF!,"AAAAAD9OK1I=")</f>
        <v>#REF!</v>
      </c>
      <c r="CF7" t="e">
        <f>AND(#REF!,"AAAAAD9OK1M=")</f>
        <v>#REF!</v>
      </c>
      <c r="CG7" t="e">
        <f>AND(#REF!,"AAAAAD9OK1Q=")</f>
        <v>#REF!</v>
      </c>
      <c r="CH7" t="e">
        <f>IF(#REF!,"AAAAAD9OK1U=",0)</f>
        <v>#REF!</v>
      </c>
      <c r="CI7" t="e">
        <f>AND(#REF!,"AAAAAD9OK1Y=")</f>
        <v>#REF!</v>
      </c>
      <c r="CJ7" t="e">
        <f>AND(#REF!,"AAAAAD9OK1c=")</f>
        <v>#REF!</v>
      </c>
      <c r="CK7" t="e">
        <f>AND(#REF!,"AAAAAD9OK1g=")</f>
        <v>#REF!</v>
      </c>
      <c r="CL7" t="e">
        <f>AND(#REF!,"AAAAAD9OK1k=")</f>
        <v>#REF!</v>
      </c>
      <c r="CM7" t="e">
        <f>AND(#REF!,"AAAAAD9OK1o=")</f>
        <v>#REF!</v>
      </c>
      <c r="CN7" t="e">
        <f>AND(#REF!,"AAAAAD9OK1s=")</f>
        <v>#REF!</v>
      </c>
      <c r="CO7" t="e">
        <f>AND(#REF!,"AAAAAD9OK1w=")</f>
        <v>#REF!</v>
      </c>
      <c r="CP7" t="e">
        <f>AND(#REF!,"AAAAAD9OK10=")</f>
        <v>#REF!</v>
      </c>
      <c r="CQ7" t="e">
        <f>IF(#REF!,"AAAAAD9OK14=",0)</f>
        <v>#REF!</v>
      </c>
      <c r="CR7" t="e">
        <f>AND(#REF!,"AAAAAD9OK18=")</f>
        <v>#REF!</v>
      </c>
      <c r="CS7" t="e">
        <f>AND(#REF!,"AAAAAD9OK2A=")</f>
        <v>#REF!</v>
      </c>
      <c r="CT7" t="e">
        <f>AND(#REF!,"AAAAAD9OK2E=")</f>
        <v>#REF!</v>
      </c>
      <c r="CU7" t="e">
        <f>AND(#REF!,"AAAAAD9OK2I=")</f>
        <v>#REF!</v>
      </c>
      <c r="CV7" t="e">
        <f>AND(#REF!,"AAAAAD9OK2M=")</f>
        <v>#REF!</v>
      </c>
      <c r="CW7" t="e">
        <f>AND(#REF!,"AAAAAD9OK2Q=")</f>
        <v>#REF!</v>
      </c>
      <c r="CX7" t="e">
        <f>AND(#REF!,"AAAAAD9OK2U=")</f>
        <v>#REF!</v>
      </c>
      <c r="CY7" t="e">
        <f>AND(#REF!,"AAAAAD9OK2Y=")</f>
        <v>#REF!</v>
      </c>
      <c r="CZ7" t="e">
        <f>IF(#REF!,"AAAAAD9OK2c=",0)</f>
        <v>#REF!</v>
      </c>
      <c r="DA7" t="e">
        <f>AND(#REF!,"AAAAAD9OK2g=")</f>
        <v>#REF!</v>
      </c>
      <c r="DB7" t="e">
        <f>AND(#REF!,"AAAAAD9OK2k=")</f>
        <v>#REF!</v>
      </c>
      <c r="DC7" t="e">
        <f>AND(#REF!,"AAAAAD9OK2o=")</f>
        <v>#REF!</v>
      </c>
      <c r="DD7" t="e">
        <f>AND(#REF!,"AAAAAD9OK2s=")</f>
        <v>#REF!</v>
      </c>
      <c r="DE7" t="e">
        <f>AND(#REF!,"AAAAAD9OK2w=")</f>
        <v>#REF!</v>
      </c>
      <c r="DF7" t="e">
        <f>AND(#REF!,"AAAAAD9OK20=")</f>
        <v>#REF!</v>
      </c>
      <c r="DG7" t="e">
        <f>AND(#REF!,"AAAAAD9OK24=")</f>
        <v>#REF!</v>
      </c>
      <c r="DH7" t="e">
        <f>AND(#REF!,"AAAAAD9OK28=")</f>
        <v>#REF!</v>
      </c>
      <c r="DI7" t="e">
        <f>IF(#REF!,"AAAAAD9OK3A=",0)</f>
        <v>#REF!</v>
      </c>
      <c r="DJ7" t="e">
        <f>AND(#REF!,"AAAAAD9OK3E=")</f>
        <v>#REF!</v>
      </c>
      <c r="DK7" t="e">
        <f>AND(#REF!,"AAAAAD9OK3I=")</f>
        <v>#REF!</v>
      </c>
      <c r="DL7" t="e">
        <f>AND(#REF!,"AAAAAD9OK3M=")</f>
        <v>#REF!</v>
      </c>
      <c r="DM7" t="e">
        <f>AND(#REF!,"AAAAAD9OK3Q=")</f>
        <v>#REF!</v>
      </c>
      <c r="DN7" t="e">
        <f>AND(#REF!,"AAAAAD9OK3U=")</f>
        <v>#REF!</v>
      </c>
      <c r="DO7" t="e">
        <f>AND(#REF!,"AAAAAD9OK3Y=")</f>
        <v>#REF!</v>
      </c>
      <c r="DP7" t="e">
        <f>AND(#REF!,"AAAAAD9OK3c=")</f>
        <v>#REF!</v>
      </c>
      <c r="DQ7" t="e">
        <f>AND(#REF!,"AAAAAD9OK3g=")</f>
        <v>#REF!</v>
      </c>
      <c r="DR7" t="e">
        <f>IF(#REF!,"AAAAAD9OK3k=",0)</f>
        <v>#REF!</v>
      </c>
      <c r="DS7" t="e">
        <f>AND(#REF!,"AAAAAD9OK3o=")</f>
        <v>#REF!</v>
      </c>
      <c r="DT7" t="e">
        <f>AND(#REF!,"AAAAAD9OK3s=")</f>
        <v>#REF!</v>
      </c>
      <c r="DU7" t="e">
        <f>AND(#REF!,"AAAAAD9OK3w=")</f>
        <v>#REF!</v>
      </c>
      <c r="DV7" t="e">
        <f>AND(#REF!,"AAAAAD9OK30=")</f>
        <v>#REF!</v>
      </c>
      <c r="DW7" t="e">
        <f>AND(#REF!,"AAAAAD9OK34=")</f>
        <v>#REF!</v>
      </c>
      <c r="DX7" t="e">
        <f>AND(#REF!,"AAAAAD9OK38=")</f>
        <v>#REF!</v>
      </c>
      <c r="DY7" t="e">
        <f>AND(#REF!,"AAAAAD9OK4A=")</f>
        <v>#REF!</v>
      </c>
      <c r="DZ7" t="e">
        <f>AND(#REF!,"AAAAAD9OK4E=")</f>
        <v>#REF!</v>
      </c>
      <c r="EA7" t="e">
        <f>IF(#REF!,"AAAAAD9OK4I=",0)</f>
        <v>#REF!</v>
      </c>
      <c r="EB7" t="e">
        <f>AND(#REF!,"AAAAAD9OK4M=")</f>
        <v>#REF!</v>
      </c>
      <c r="EC7" t="e">
        <f>AND(#REF!,"AAAAAD9OK4Q=")</f>
        <v>#REF!</v>
      </c>
      <c r="ED7" t="e">
        <f>AND(#REF!,"AAAAAD9OK4U=")</f>
        <v>#REF!</v>
      </c>
      <c r="EE7" t="e">
        <f>AND(#REF!,"AAAAAD9OK4Y=")</f>
        <v>#REF!</v>
      </c>
      <c r="EF7" t="e">
        <f>AND(#REF!,"AAAAAD9OK4c=")</f>
        <v>#REF!</v>
      </c>
      <c r="EG7" t="e">
        <f>AND(#REF!,"AAAAAD9OK4g=")</f>
        <v>#REF!</v>
      </c>
      <c r="EH7" t="e">
        <f>AND(#REF!,"AAAAAD9OK4k=")</f>
        <v>#REF!</v>
      </c>
      <c r="EI7" t="e">
        <f>AND(#REF!,"AAAAAD9OK4o=")</f>
        <v>#REF!</v>
      </c>
      <c r="EJ7" t="e">
        <f>IF(#REF!,"AAAAAD9OK4s=",0)</f>
        <v>#REF!</v>
      </c>
      <c r="EK7" t="e">
        <f>AND(#REF!,"AAAAAD9OK4w=")</f>
        <v>#REF!</v>
      </c>
      <c r="EL7" t="e">
        <f>AND(#REF!,"AAAAAD9OK40=")</f>
        <v>#REF!</v>
      </c>
      <c r="EM7" t="e">
        <f>AND(#REF!,"AAAAAD9OK44=")</f>
        <v>#REF!</v>
      </c>
      <c r="EN7" t="e">
        <f>AND(#REF!,"AAAAAD9OK48=")</f>
        <v>#REF!</v>
      </c>
      <c r="EO7" t="e">
        <f>AND(#REF!,"AAAAAD9OK5A=")</f>
        <v>#REF!</v>
      </c>
      <c r="EP7" t="e">
        <f>AND(#REF!,"AAAAAD9OK5E=")</f>
        <v>#REF!</v>
      </c>
      <c r="EQ7" t="e">
        <f>AND(#REF!,"AAAAAD9OK5I=")</f>
        <v>#REF!</v>
      </c>
      <c r="ER7" t="e">
        <f>AND(#REF!,"AAAAAD9OK5M=")</f>
        <v>#REF!</v>
      </c>
      <c r="ES7" t="e">
        <f>IF(#REF!,"AAAAAD9OK5Q=",0)</f>
        <v>#REF!</v>
      </c>
      <c r="ET7" t="e">
        <f>AND(#REF!,"AAAAAD9OK5U=")</f>
        <v>#REF!</v>
      </c>
      <c r="EU7" t="e">
        <f>AND(#REF!,"AAAAAD9OK5Y=")</f>
        <v>#REF!</v>
      </c>
      <c r="EV7" t="e">
        <f>AND(#REF!,"AAAAAD9OK5c=")</f>
        <v>#REF!</v>
      </c>
      <c r="EW7" t="e">
        <f>AND(#REF!,"AAAAAD9OK5g=")</f>
        <v>#REF!</v>
      </c>
      <c r="EX7" t="e">
        <f>AND(#REF!,"AAAAAD9OK5k=")</f>
        <v>#REF!</v>
      </c>
      <c r="EY7" t="e">
        <f>AND(#REF!,"AAAAAD9OK5o=")</f>
        <v>#REF!</v>
      </c>
      <c r="EZ7" t="e">
        <f>AND(#REF!,"AAAAAD9OK5s=")</f>
        <v>#REF!</v>
      </c>
      <c r="FA7" t="e">
        <f>AND(#REF!,"AAAAAD9OK5w=")</f>
        <v>#REF!</v>
      </c>
      <c r="FB7" t="e">
        <f>IF(#REF!,"AAAAAD9OK50=",0)</f>
        <v>#REF!</v>
      </c>
      <c r="FC7" t="e">
        <f>AND(#REF!,"AAAAAD9OK54=")</f>
        <v>#REF!</v>
      </c>
      <c r="FD7" t="e">
        <f>AND(#REF!,"AAAAAD9OK58=")</f>
        <v>#REF!</v>
      </c>
      <c r="FE7" t="e">
        <f>AND(#REF!,"AAAAAD9OK6A=")</f>
        <v>#REF!</v>
      </c>
      <c r="FF7" t="e">
        <f>AND(#REF!,"AAAAAD9OK6E=")</f>
        <v>#REF!</v>
      </c>
      <c r="FG7" t="e">
        <f>AND(#REF!,"AAAAAD9OK6I=")</f>
        <v>#REF!</v>
      </c>
      <c r="FH7" t="e">
        <f>AND(#REF!,"AAAAAD9OK6M=")</f>
        <v>#REF!</v>
      </c>
      <c r="FI7" t="e">
        <f>AND(#REF!,"AAAAAD9OK6Q=")</f>
        <v>#REF!</v>
      </c>
      <c r="FJ7" t="e">
        <f>AND(#REF!,"AAAAAD9OK6U=")</f>
        <v>#REF!</v>
      </c>
      <c r="FK7" t="e">
        <f>IF(#REF!,"AAAAAD9OK6Y=",0)</f>
        <v>#REF!</v>
      </c>
      <c r="FL7" t="e">
        <f>AND(#REF!,"AAAAAD9OK6c=")</f>
        <v>#REF!</v>
      </c>
      <c r="FM7" t="e">
        <f>AND(#REF!,"AAAAAD9OK6g=")</f>
        <v>#REF!</v>
      </c>
      <c r="FN7" t="e">
        <f>AND(#REF!,"AAAAAD9OK6k=")</f>
        <v>#REF!</v>
      </c>
      <c r="FO7" t="e">
        <f>AND(#REF!,"AAAAAD9OK6o=")</f>
        <v>#REF!</v>
      </c>
      <c r="FP7" t="e">
        <f>AND(#REF!,"AAAAAD9OK6s=")</f>
        <v>#REF!</v>
      </c>
      <c r="FQ7" t="e">
        <f>AND(#REF!,"AAAAAD9OK6w=")</f>
        <v>#REF!</v>
      </c>
      <c r="FR7" t="e">
        <f>AND(#REF!,"AAAAAD9OK60=")</f>
        <v>#REF!</v>
      </c>
      <c r="FS7" t="e">
        <f>AND(#REF!,"AAAAAD9OK64=")</f>
        <v>#REF!</v>
      </c>
      <c r="FT7" t="e">
        <f>IF(#REF!,"AAAAAD9OK68=",0)</f>
        <v>#REF!</v>
      </c>
      <c r="FU7" t="e">
        <f>AND(#REF!,"AAAAAD9OK7A=")</f>
        <v>#REF!</v>
      </c>
      <c r="FV7" t="e">
        <f>AND(#REF!,"AAAAAD9OK7E=")</f>
        <v>#REF!</v>
      </c>
      <c r="FW7" t="e">
        <f>AND(#REF!,"AAAAAD9OK7I=")</f>
        <v>#REF!</v>
      </c>
      <c r="FX7" t="e">
        <f>AND(#REF!,"AAAAAD9OK7M=")</f>
        <v>#REF!</v>
      </c>
      <c r="FY7" t="e">
        <f>AND(#REF!,"AAAAAD9OK7Q=")</f>
        <v>#REF!</v>
      </c>
      <c r="FZ7" t="e">
        <f>AND(#REF!,"AAAAAD9OK7U=")</f>
        <v>#REF!</v>
      </c>
      <c r="GA7" t="e">
        <f>AND(#REF!,"AAAAAD9OK7Y=")</f>
        <v>#REF!</v>
      </c>
      <c r="GB7" t="e">
        <f>AND(#REF!,"AAAAAD9OK7c=")</f>
        <v>#REF!</v>
      </c>
      <c r="GC7" t="e">
        <f>IF(#REF!,"AAAAAD9OK7g=",0)</f>
        <v>#REF!</v>
      </c>
      <c r="GD7" t="e">
        <f>AND(#REF!,"AAAAAD9OK7k=")</f>
        <v>#REF!</v>
      </c>
      <c r="GE7" t="e">
        <f>AND(#REF!,"AAAAAD9OK7o=")</f>
        <v>#REF!</v>
      </c>
      <c r="GF7" t="e">
        <f>AND(#REF!,"AAAAAD9OK7s=")</f>
        <v>#REF!</v>
      </c>
      <c r="GG7" t="e">
        <f>AND(#REF!,"AAAAAD9OK7w=")</f>
        <v>#REF!</v>
      </c>
      <c r="GH7" t="e">
        <f>AND(#REF!,"AAAAAD9OK70=")</f>
        <v>#REF!</v>
      </c>
      <c r="GI7" t="e">
        <f>AND(#REF!,"AAAAAD9OK74=")</f>
        <v>#REF!</v>
      </c>
      <c r="GJ7" t="e">
        <f>AND(#REF!,"AAAAAD9OK78=")</f>
        <v>#REF!</v>
      </c>
      <c r="GK7" t="e">
        <f>AND(#REF!,"AAAAAD9OK8A=")</f>
        <v>#REF!</v>
      </c>
      <c r="GL7" t="e">
        <f>IF(#REF!,"AAAAAD9OK8E=",0)</f>
        <v>#REF!</v>
      </c>
      <c r="GM7" t="e">
        <f>AND(#REF!,"AAAAAD9OK8I=")</f>
        <v>#REF!</v>
      </c>
      <c r="GN7" t="e">
        <f>AND(#REF!,"AAAAAD9OK8M=")</f>
        <v>#REF!</v>
      </c>
      <c r="GO7" t="e">
        <f>AND(#REF!,"AAAAAD9OK8Q=")</f>
        <v>#REF!</v>
      </c>
      <c r="GP7" t="e">
        <f>AND(#REF!,"AAAAAD9OK8U=")</f>
        <v>#REF!</v>
      </c>
      <c r="GQ7" t="e">
        <f>AND(#REF!,"AAAAAD9OK8Y=")</f>
        <v>#REF!</v>
      </c>
      <c r="GR7" t="e">
        <f>AND(#REF!,"AAAAAD9OK8c=")</f>
        <v>#REF!</v>
      </c>
      <c r="GS7" t="e">
        <f>AND(#REF!,"AAAAAD9OK8g=")</f>
        <v>#REF!</v>
      </c>
      <c r="GT7" t="e">
        <f>AND(#REF!,"AAAAAD9OK8k=")</f>
        <v>#REF!</v>
      </c>
      <c r="GU7" t="e">
        <f>IF(#REF!,"AAAAAD9OK8o=",0)</f>
        <v>#REF!</v>
      </c>
      <c r="GV7" t="e">
        <f>AND(#REF!,"AAAAAD9OK8s=")</f>
        <v>#REF!</v>
      </c>
      <c r="GW7" t="e">
        <f>AND(#REF!,"AAAAAD9OK8w=")</f>
        <v>#REF!</v>
      </c>
      <c r="GX7" t="e">
        <f>AND(#REF!,"AAAAAD9OK80=")</f>
        <v>#REF!</v>
      </c>
      <c r="GY7" t="e">
        <f>AND(#REF!,"AAAAAD9OK84=")</f>
        <v>#REF!</v>
      </c>
      <c r="GZ7" t="e">
        <f>AND(#REF!,"AAAAAD9OK88=")</f>
        <v>#REF!</v>
      </c>
      <c r="HA7" t="e">
        <f>AND(#REF!,"AAAAAD9OK9A=")</f>
        <v>#REF!</v>
      </c>
      <c r="HB7" t="e">
        <f>AND(#REF!,"AAAAAD9OK9E=")</f>
        <v>#REF!</v>
      </c>
      <c r="HC7" t="e">
        <f>AND(#REF!,"AAAAAD9OK9I=")</f>
        <v>#REF!</v>
      </c>
      <c r="HD7" t="e">
        <f>IF(#REF!,"AAAAAD9OK9M=",0)</f>
        <v>#REF!</v>
      </c>
      <c r="HE7" t="e">
        <f>AND(#REF!,"AAAAAD9OK9Q=")</f>
        <v>#REF!</v>
      </c>
      <c r="HF7" t="e">
        <f>AND(#REF!,"AAAAAD9OK9U=")</f>
        <v>#REF!</v>
      </c>
      <c r="HG7" t="e">
        <f>AND(#REF!,"AAAAAD9OK9Y=")</f>
        <v>#REF!</v>
      </c>
      <c r="HH7" t="e">
        <f>AND(#REF!,"AAAAAD9OK9c=")</f>
        <v>#REF!</v>
      </c>
      <c r="HI7" t="e">
        <f>AND(#REF!,"AAAAAD9OK9g=")</f>
        <v>#REF!</v>
      </c>
      <c r="HJ7" t="e">
        <f>AND(#REF!,"AAAAAD9OK9k=")</f>
        <v>#REF!</v>
      </c>
      <c r="HK7" t="e">
        <f>AND(#REF!,"AAAAAD9OK9o=")</f>
        <v>#REF!</v>
      </c>
      <c r="HL7" t="e">
        <f>AND(#REF!,"AAAAAD9OK9s=")</f>
        <v>#REF!</v>
      </c>
      <c r="HM7" t="e">
        <f>IF(#REF!,"AAAAAD9OK9w=",0)</f>
        <v>#REF!</v>
      </c>
      <c r="HN7" t="e">
        <f>AND(#REF!,"AAAAAD9OK90=")</f>
        <v>#REF!</v>
      </c>
      <c r="HO7" t="e">
        <f>AND(#REF!,"AAAAAD9OK94=")</f>
        <v>#REF!</v>
      </c>
      <c r="HP7" t="e">
        <f>AND(#REF!,"AAAAAD9OK98=")</f>
        <v>#REF!</v>
      </c>
      <c r="HQ7" t="e">
        <f>AND(#REF!,"AAAAAD9OK+A=")</f>
        <v>#REF!</v>
      </c>
      <c r="HR7" t="e">
        <f>AND(#REF!,"AAAAAD9OK+E=")</f>
        <v>#REF!</v>
      </c>
      <c r="HS7" t="e">
        <f>AND(#REF!,"AAAAAD9OK+I=")</f>
        <v>#REF!</v>
      </c>
      <c r="HT7" t="e">
        <f>AND(#REF!,"AAAAAD9OK+M=")</f>
        <v>#REF!</v>
      </c>
      <c r="HU7" t="e">
        <f>AND(#REF!,"AAAAAD9OK+Q=")</f>
        <v>#REF!</v>
      </c>
      <c r="HV7" t="e">
        <f>IF(#REF!,"AAAAAD9OK+U=",0)</f>
        <v>#REF!</v>
      </c>
      <c r="HW7" t="e">
        <f>AND(#REF!,"AAAAAD9OK+Y=")</f>
        <v>#REF!</v>
      </c>
      <c r="HX7" t="e">
        <f>AND(#REF!,"AAAAAD9OK+c=")</f>
        <v>#REF!</v>
      </c>
      <c r="HY7" t="e">
        <f>AND(#REF!,"AAAAAD9OK+g=")</f>
        <v>#REF!</v>
      </c>
      <c r="HZ7" t="e">
        <f>AND(#REF!,"AAAAAD9OK+k=")</f>
        <v>#REF!</v>
      </c>
      <c r="IA7" t="e">
        <f>AND(#REF!,"AAAAAD9OK+o=")</f>
        <v>#REF!</v>
      </c>
      <c r="IB7" t="e">
        <f>AND(#REF!,"AAAAAD9OK+s=")</f>
        <v>#REF!</v>
      </c>
      <c r="IC7" t="e">
        <f>AND(#REF!,"AAAAAD9OK+w=")</f>
        <v>#REF!</v>
      </c>
      <c r="ID7" t="e">
        <f>AND(#REF!,"AAAAAD9OK+0=")</f>
        <v>#REF!</v>
      </c>
      <c r="IE7" t="e">
        <f>IF(#REF!,"AAAAAD9OK+4=",0)</f>
        <v>#REF!</v>
      </c>
      <c r="IF7" t="e">
        <f>AND(#REF!,"AAAAAD9OK+8=")</f>
        <v>#REF!</v>
      </c>
      <c r="IG7" t="e">
        <f>AND(#REF!,"AAAAAD9OK/A=")</f>
        <v>#REF!</v>
      </c>
      <c r="IH7" t="e">
        <f>AND(#REF!,"AAAAAD9OK/E=")</f>
        <v>#REF!</v>
      </c>
      <c r="II7" t="e">
        <f>AND(#REF!,"AAAAAD9OK/I=")</f>
        <v>#REF!</v>
      </c>
      <c r="IJ7" t="e">
        <f>AND(#REF!,"AAAAAD9OK/M=")</f>
        <v>#REF!</v>
      </c>
      <c r="IK7" t="e">
        <f>AND(#REF!,"AAAAAD9OK/Q=")</f>
        <v>#REF!</v>
      </c>
      <c r="IL7" t="e">
        <f>AND(#REF!,"AAAAAD9OK/U=")</f>
        <v>#REF!</v>
      </c>
      <c r="IM7" t="e">
        <f>AND(#REF!,"AAAAAD9OK/Y=")</f>
        <v>#REF!</v>
      </c>
      <c r="IN7" t="e">
        <f>IF(#REF!,"AAAAAD9OK/c=",0)</f>
        <v>#REF!</v>
      </c>
      <c r="IO7" t="e">
        <f>AND(#REF!,"AAAAAD9OK/g=")</f>
        <v>#REF!</v>
      </c>
      <c r="IP7" t="e">
        <f>AND(#REF!,"AAAAAD9OK/k=")</f>
        <v>#REF!</v>
      </c>
      <c r="IQ7" t="e">
        <f>AND(#REF!,"AAAAAD9OK/o=")</f>
        <v>#REF!</v>
      </c>
      <c r="IR7" t="e">
        <f>AND(#REF!,"AAAAAD9OK/s=")</f>
        <v>#REF!</v>
      </c>
      <c r="IS7" t="e">
        <f>AND(#REF!,"AAAAAD9OK/w=")</f>
        <v>#REF!</v>
      </c>
      <c r="IT7" t="e">
        <f>AND(#REF!,"AAAAAD9OK/0=")</f>
        <v>#REF!</v>
      </c>
      <c r="IU7" t="e">
        <f>AND(#REF!,"AAAAAD9OK/4=")</f>
        <v>#REF!</v>
      </c>
      <c r="IV7" t="e">
        <f>AND(#REF!,"AAAAAD9OK/8=")</f>
        <v>#REF!</v>
      </c>
    </row>
    <row r="8" spans="1:256" x14ac:dyDescent="0.25">
      <c r="A8" t="e">
        <f>IF(#REF!,"AAAAAB899wA=",0)</f>
        <v>#REF!</v>
      </c>
      <c r="B8" t="e">
        <f>AND(#REF!,"AAAAAB899wE=")</f>
        <v>#REF!</v>
      </c>
      <c r="C8" t="e">
        <f>AND(#REF!,"AAAAAB899wI=")</f>
        <v>#REF!</v>
      </c>
      <c r="D8" t="e">
        <f>AND(#REF!,"AAAAAB899wM=")</f>
        <v>#REF!</v>
      </c>
      <c r="E8" t="e">
        <f>AND(#REF!,"AAAAAB899wQ=")</f>
        <v>#REF!</v>
      </c>
      <c r="F8" t="e">
        <f>AND(#REF!,"AAAAAB899wU=")</f>
        <v>#REF!</v>
      </c>
      <c r="G8" t="e">
        <f>AND(#REF!,"AAAAAB899wY=")</f>
        <v>#REF!</v>
      </c>
      <c r="H8" t="e">
        <f>AND(#REF!,"AAAAAB899wc=")</f>
        <v>#REF!</v>
      </c>
      <c r="I8" t="e">
        <f>AND(#REF!,"AAAAAB899wg=")</f>
        <v>#REF!</v>
      </c>
      <c r="J8" t="e">
        <f>IF(#REF!,"AAAAAB899wk=",0)</f>
        <v>#REF!</v>
      </c>
      <c r="K8" t="e">
        <f>AND(#REF!,"AAAAAB899wo=")</f>
        <v>#REF!</v>
      </c>
      <c r="L8" t="e">
        <f>AND(#REF!,"AAAAAB899ws=")</f>
        <v>#REF!</v>
      </c>
      <c r="M8" t="e">
        <f>AND(#REF!,"AAAAAB899ww=")</f>
        <v>#REF!</v>
      </c>
      <c r="N8" t="e">
        <f>AND(#REF!,"AAAAAB899w0=")</f>
        <v>#REF!</v>
      </c>
      <c r="O8" t="e">
        <f>AND(#REF!,"AAAAAB899w4=")</f>
        <v>#REF!</v>
      </c>
      <c r="P8" t="e">
        <f>IF(#REF!,"AAAAAB899w8=",0)</f>
        <v>#REF!</v>
      </c>
      <c r="Q8" t="e">
        <f>IF(#REF!,"AAAAAB899xA=",0)</f>
        <v>#REF!</v>
      </c>
      <c r="R8" t="e">
        <f>IF(#REF!,"AAAAAB899xE=",0)</f>
        <v>#REF!</v>
      </c>
      <c r="S8" t="e">
        <f>IF(#REF!,"AAAAAB899xI=",0)</f>
        <v>#REF!</v>
      </c>
      <c r="T8" t="e">
        <f>IF(#REF!,"AAAAAB899xM=",0)</f>
        <v>#REF!</v>
      </c>
      <c r="U8" t="e">
        <f>IF(#REF!,"AAAAAB899xQ=",0)</f>
        <v>#REF!</v>
      </c>
      <c r="V8" t="e">
        <f>IF(#REF!,"AAAAAB899xU=",0)</f>
        <v>#REF!</v>
      </c>
      <c r="W8" t="e">
        <f>IF(#REF!,"AAAAAB899xY=",0)</f>
        <v>#REF!</v>
      </c>
      <c r="X8" t="s">
        <v>147</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Sheet8"/>
  <dimension ref="A2:L42"/>
  <sheetViews>
    <sheetView topLeftCell="A13" workbookViewId="0">
      <selection activeCell="N13" sqref="N13"/>
    </sheetView>
  </sheetViews>
  <sheetFormatPr defaultColWidth="8.85546875" defaultRowHeight="15" x14ac:dyDescent="0.25"/>
  <sheetData>
    <row r="2" spans="1:12" x14ac:dyDescent="0.25">
      <c r="A2" s="1" t="s">
        <v>41</v>
      </c>
      <c r="H2" s="2">
        <v>0</v>
      </c>
    </row>
    <row r="3" spans="1:12" x14ac:dyDescent="0.25">
      <c r="A3" s="1" t="s">
        <v>42</v>
      </c>
      <c r="H3" s="2">
        <v>4.1666666666666664E-2</v>
      </c>
      <c r="L3" t="s">
        <v>25</v>
      </c>
    </row>
    <row r="4" spans="1:12" x14ac:dyDescent="0.25">
      <c r="A4" s="1" t="s">
        <v>43</v>
      </c>
      <c r="H4" s="2">
        <v>8.3333333333333329E-2</v>
      </c>
      <c r="L4" t="s">
        <v>26</v>
      </c>
    </row>
    <row r="5" spans="1:12" x14ac:dyDescent="0.25">
      <c r="A5" s="1" t="s">
        <v>44</v>
      </c>
      <c r="H5" s="2">
        <v>0.125</v>
      </c>
      <c r="L5" t="s">
        <v>27</v>
      </c>
    </row>
    <row r="6" spans="1:12" x14ac:dyDescent="0.25">
      <c r="A6" s="1" t="s">
        <v>45</v>
      </c>
      <c r="H6" s="2">
        <v>0.16666666666666666</v>
      </c>
      <c r="L6" t="s">
        <v>28</v>
      </c>
    </row>
    <row r="7" spans="1:12" x14ac:dyDescent="0.25">
      <c r="A7" s="1" t="s">
        <v>22</v>
      </c>
      <c r="H7" s="2">
        <v>0.20833333333333334</v>
      </c>
      <c r="L7" t="s">
        <v>29</v>
      </c>
    </row>
    <row r="8" spans="1:12" x14ac:dyDescent="0.25">
      <c r="A8" s="1" t="s">
        <v>46</v>
      </c>
      <c r="H8" s="2">
        <v>0.25</v>
      </c>
    </row>
    <row r="9" spans="1:12" x14ac:dyDescent="0.25">
      <c r="A9" s="1" t="s">
        <v>23</v>
      </c>
      <c r="H9" s="2">
        <v>0.29166666666666669</v>
      </c>
    </row>
    <row r="10" spans="1:12" x14ac:dyDescent="0.25">
      <c r="A10" s="1" t="s">
        <v>47</v>
      </c>
      <c r="H10" s="2">
        <v>0.33333333333333331</v>
      </c>
    </row>
    <row r="11" spans="1:12" x14ac:dyDescent="0.25">
      <c r="A11" s="1" t="s">
        <v>48</v>
      </c>
      <c r="H11" s="2">
        <v>0.375</v>
      </c>
    </row>
    <row r="12" spans="1:12" x14ac:dyDescent="0.25">
      <c r="A12" s="1" t="s">
        <v>49</v>
      </c>
      <c r="H12" s="2">
        <v>0.41666666666666669</v>
      </c>
    </row>
    <row r="13" spans="1:12" x14ac:dyDescent="0.25">
      <c r="A13" s="1" t="s">
        <v>50</v>
      </c>
      <c r="H13" s="2">
        <v>0.45833333333333331</v>
      </c>
    </row>
    <row r="14" spans="1:12" x14ac:dyDescent="0.25">
      <c r="A14" s="1" t="s">
        <v>51</v>
      </c>
      <c r="H14" s="2">
        <v>0.5</v>
      </c>
    </row>
    <row r="15" spans="1:12" x14ac:dyDescent="0.25">
      <c r="A15" s="1" t="s">
        <v>24</v>
      </c>
      <c r="H15" s="2">
        <v>0.54166666666666663</v>
      </c>
    </row>
    <row r="16" spans="1:12" x14ac:dyDescent="0.25">
      <c r="A16" s="1" t="s">
        <v>52</v>
      </c>
      <c r="H16" s="2">
        <v>0.58333333333333337</v>
      </c>
    </row>
    <row r="17" spans="1:8" x14ac:dyDescent="0.25">
      <c r="A17" s="1" t="s">
        <v>53</v>
      </c>
      <c r="H17" s="2">
        <v>0.625</v>
      </c>
    </row>
    <row r="18" spans="1:8" x14ac:dyDescent="0.25">
      <c r="A18" s="1" t="s">
        <v>54</v>
      </c>
      <c r="H18" s="2">
        <v>0.66666666666666663</v>
      </c>
    </row>
    <row r="19" spans="1:8" x14ac:dyDescent="0.25">
      <c r="A19" s="1" t="s">
        <v>13</v>
      </c>
      <c r="H19" s="2">
        <v>0.70833333333333337</v>
      </c>
    </row>
    <row r="20" spans="1:8" ht="16.5" customHeight="1" x14ac:dyDescent="0.25">
      <c r="A20" s="1" t="s">
        <v>14</v>
      </c>
      <c r="H20" s="2">
        <v>0.75</v>
      </c>
    </row>
    <row r="21" spans="1:8" x14ac:dyDescent="0.25">
      <c r="A21" s="1" t="s">
        <v>10</v>
      </c>
      <c r="H21" s="2">
        <v>0.79166666666666663</v>
      </c>
    </row>
    <row r="22" spans="1:8" x14ac:dyDescent="0.25">
      <c r="A22" s="1" t="s">
        <v>11</v>
      </c>
      <c r="H22" s="2">
        <v>0.83333333333333337</v>
      </c>
    </row>
    <row r="23" spans="1:8" x14ac:dyDescent="0.25">
      <c r="A23" s="1" t="s">
        <v>55</v>
      </c>
      <c r="H23" s="2">
        <v>0.875</v>
      </c>
    </row>
    <row r="24" spans="1:8" x14ac:dyDescent="0.25">
      <c r="A24" s="1" t="s">
        <v>12</v>
      </c>
      <c r="H24" s="2">
        <v>0.91666666666666663</v>
      </c>
    </row>
    <row r="25" spans="1:8" x14ac:dyDescent="0.25">
      <c r="A25" s="1" t="s">
        <v>56</v>
      </c>
      <c r="H25" s="2">
        <v>0.95833333333333337</v>
      </c>
    </row>
    <row r="26" spans="1:8" x14ac:dyDescent="0.25">
      <c r="A26" s="1" t="s">
        <v>21</v>
      </c>
    </row>
    <row r="27" spans="1:8" x14ac:dyDescent="0.25">
      <c r="A27" s="1" t="s">
        <v>57</v>
      </c>
    </row>
    <row r="28" spans="1:8" x14ac:dyDescent="0.25">
      <c r="A28" s="1" t="s">
        <v>58</v>
      </c>
    </row>
    <row r="29" spans="1:8" x14ac:dyDescent="0.25">
      <c r="A29" s="1" t="s">
        <v>15</v>
      </c>
    </row>
    <row r="30" spans="1:8" x14ac:dyDescent="0.25">
      <c r="A30" s="1" t="s">
        <v>2</v>
      </c>
    </row>
    <row r="31" spans="1:8" x14ac:dyDescent="0.25">
      <c r="A31" s="1" t="s">
        <v>3</v>
      </c>
    </row>
    <row r="32" spans="1:8" x14ac:dyDescent="0.25">
      <c r="A32" s="1" t="s">
        <v>4</v>
      </c>
    </row>
    <row r="33" spans="1:1" x14ac:dyDescent="0.25">
      <c r="A33" s="1" t="s">
        <v>5</v>
      </c>
    </row>
    <row r="34" spans="1:1" x14ac:dyDescent="0.25">
      <c r="A34" s="1" t="s">
        <v>6</v>
      </c>
    </row>
    <row r="35" spans="1:1" x14ac:dyDescent="0.25">
      <c r="A35" s="1" t="s">
        <v>7</v>
      </c>
    </row>
    <row r="36" spans="1:1" x14ac:dyDescent="0.25">
      <c r="A36" s="1" t="s">
        <v>16</v>
      </c>
    </row>
    <row r="37" spans="1:1" x14ac:dyDescent="0.25">
      <c r="A37" s="1" t="s">
        <v>20</v>
      </c>
    </row>
    <row r="38" spans="1:1" x14ac:dyDescent="0.25">
      <c r="A38" s="1" t="s">
        <v>19</v>
      </c>
    </row>
    <row r="39" spans="1:1" x14ac:dyDescent="0.25">
      <c r="A39" s="1" t="s">
        <v>18</v>
      </c>
    </row>
    <row r="40" spans="1:1" x14ac:dyDescent="0.25">
      <c r="A40" s="1" t="s">
        <v>8</v>
      </c>
    </row>
    <row r="41" spans="1:1" x14ac:dyDescent="0.25">
      <c r="A41" s="1" t="s">
        <v>17</v>
      </c>
    </row>
    <row r="42" spans="1:1" x14ac:dyDescent="0.25">
      <c r="A42" s="1"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F651-54DB-405C-88BA-DAFF271FD345}">
  <sheetPr published="0">
    <pageSetUpPr fitToPage="1"/>
  </sheetPr>
  <dimension ref="A1:B13"/>
  <sheetViews>
    <sheetView tabSelected="1" workbookViewId="0">
      <pane ySplit="1" topLeftCell="A2" activePane="bottomLeft" state="frozen"/>
      <selection pane="bottomLeft" activeCell="A16" sqref="A16"/>
    </sheetView>
  </sheetViews>
  <sheetFormatPr defaultRowHeight="15" x14ac:dyDescent="0.25"/>
  <cols>
    <col min="1" max="1" width="42.7109375" customWidth="1"/>
    <col min="2" max="2" width="50.5703125" customWidth="1"/>
  </cols>
  <sheetData>
    <row r="1" spans="1:2" s="14" customFormat="1" ht="42" customHeight="1" x14ac:dyDescent="0.35">
      <c r="A1" s="50" t="s">
        <v>436</v>
      </c>
      <c r="B1" s="51"/>
    </row>
    <row r="2" spans="1:2" s="53" customFormat="1" ht="15.75" x14ac:dyDescent="0.25">
      <c r="A2" s="61" t="s">
        <v>437</v>
      </c>
      <c r="B2" s="52"/>
    </row>
    <row r="3" spans="1:2" s="53" customFormat="1" ht="15.75" x14ac:dyDescent="0.25">
      <c r="A3" s="61" t="s">
        <v>438</v>
      </c>
      <c r="B3" s="10"/>
    </row>
    <row r="4" spans="1:2" s="53" customFormat="1" ht="15.75" x14ac:dyDescent="0.25">
      <c r="A4" s="61" t="s">
        <v>439</v>
      </c>
      <c r="B4" s="54"/>
    </row>
    <row r="5" spans="1:2" s="53" customFormat="1" ht="15.75" x14ac:dyDescent="0.25">
      <c r="A5" s="61" t="s">
        <v>440</v>
      </c>
      <c r="B5" s="55"/>
    </row>
    <row r="6" spans="1:2" s="53" customFormat="1" ht="15.75" x14ac:dyDescent="0.25">
      <c r="A6" s="61" t="s">
        <v>444</v>
      </c>
      <c r="B6" s="55"/>
    </row>
    <row r="7" spans="1:2" s="53" customFormat="1" ht="15.75" x14ac:dyDescent="0.25">
      <c r="A7" s="61" t="s">
        <v>445</v>
      </c>
      <c r="B7" s="55"/>
    </row>
    <row r="8" spans="1:2" s="53" customFormat="1" ht="15.75" x14ac:dyDescent="0.25">
      <c r="A8" s="61" t="s">
        <v>441</v>
      </c>
      <c r="B8" s="56"/>
    </row>
    <row r="9" spans="1:2" s="53" customFormat="1" ht="15.75" x14ac:dyDescent="0.25">
      <c r="A9" s="61" t="s">
        <v>442</v>
      </c>
      <c r="B9" s="57"/>
    </row>
    <row r="10" spans="1:2" s="53" customFormat="1" ht="47.25" x14ac:dyDescent="0.25">
      <c r="A10" s="62" t="s">
        <v>443</v>
      </c>
      <c r="B10" s="58"/>
    </row>
    <row r="11" spans="1:2" s="53" customFormat="1" ht="47.25" customHeight="1" x14ac:dyDescent="0.25">
      <c r="A11" s="63" t="s">
        <v>446</v>
      </c>
      <c r="B11" s="59"/>
    </row>
    <row r="12" spans="1:2" s="53" customFormat="1" ht="34.5" customHeight="1" x14ac:dyDescent="0.25">
      <c r="A12" s="63" t="s">
        <v>583</v>
      </c>
      <c r="B12" s="60"/>
    </row>
    <row r="13" spans="1:2" s="53" customFormat="1" ht="34.5" customHeight="1" x14ac:dyDescent="0.25">
      <c r="A13" s="91"/>
      <c r="B13" s="92"/>
    </row>
  </sheetData>
  <mergeCells count="1">
    <mergeCell ref="A13:B13"/>
  </mergeCells>
  <dataValidations count="2">
    <dataValidation type="list" allowBlank="1" showInputMessage="1" showErrorMessage="1" sqref="B4" xr:uid="{4A9234D3-62C4-4BD7-A28F-07B406FEDD55}">
      <formula1>org</formula1>
    </dataValidation>
    <dataValidation type="list" allowBlank="1" showInputMessage="1" showErrorMessage="1" sqref="B11" xr:uid="{D484E957-9A1D-43D8-B9D3-7DCA10DD4CE5}">
      <formula1>"Yes, No"</formula1>
    </dataValidation>
  </dataValidation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tabColor theme="4" tint="-0.249977111117893"/>
  </sheetPr>
  <dimension ref="A2:G328"/>
  <sheetViews>
    <sheetView topLeftCell="A2" zoomScale="75" zoomScaleNormal="75" workbookViewId="0">
      <pane ySplit="1" topLeftCell="A315" activePane="bottomLeft" state="frozen"/>
      <selection activeCell="A17" sqref="A17"/>
      <selection pane="bottomLeft" activeCell="A240" sqref="A240"/>
    </sheetView>
  </sheetViews>
  <sheetFormatPr defaultColWidth="60.28515625" defaultRowHeight="15.75" x14ac:dyDescent="0.25"/>
  <cols>
    <col min="1" max="2" width="63.7109375" style="33" customWidth="1"/>
    <col min="3" max="3" width="60.28515625" style="5"/>
    <col min="4" max="4" width="54.42578125" style="4" customWidth="1"/>
    <col min="5" max="5" width="60.28515625" style="29"/>
    <col min="6" max="6" width="73.5703125" style="5" customWidth="1"/>
    <col min="7" max="7" width="60.28515625" style="5"/>
    <col min="8" max="16384" width="60.28515625" style="6"/>
  </cols>
  <sheetData>
    <row r="2" spans="1:6" ht="60" customHeight="1" x14ac:dyDescent="0.25">
      <c r="A2" s="39" t="s">
        <v>221</v>
      </c>
      <c r="B2" s="64" t="s">
        <v>416</v>
      </c>
      <c r="C2" s="64" t="s">
        <v>448</v>
      </c>
      <c r="D2" s="40" t="s">
        <v>485</v>
      </c>
      <c r="E2" s="40" t="s">
        <v>415</v>
      </c>
      <c r="F2" s="42" t="s">
        <v>419</v>
      </c>
    </row>
    <row r="3" spans="1:6" ht="60" customHeight="1" x14ac:dyDescent="0.25">
      <c r="A3" s="74" t="s">
        <v>494</v>
      </c>
      <c r="B3" s="74" t="s">
        <v>494</v>
      </c>
      <c r="C3" s="74" t="s">
        <v>494</v>
      </c>
      <c r="D3" s="74" t="s">
        <v>503</v>
      </c>
      <c r="E3" s="74" t="s">
        <v>494</v>
      </c>
      <c r="F3" s="84" t="s">
        <v>569</v>
      </c>
    </row>
    <row r="4" spans="1:6" ht="38.25" customHeight="1" x14ac:dyDescent="0.25">
      <c r="A4" s="86" t="s">
        <v>499</v>
      </c>
      <c r="B4" s="30"/>
      <c r="C4" s="73"/>
      <c r="D4" s="73"/>
      <c r="E4" s="73"/>
      <c r="F4" s="72"/>
    </row>
    <row r="5" spans="1:6" ht="36.75" customHeight="1" x14ac:dyDescent="0.25">
      <c r="A5" s="86" t="s">
        <v>570</v>
      </c>
      <c r="B5" s="30"/>
      <c r="C5" s="73"/>
      <c r="D5" s="73"/>
      <c r="E5" s="73"/>
      <c r="F5" s="85"/>
    </row>
    <row r="6" spans="1:6" ht="30.75" customHeight="1" x14ac:dyDescent="0.25">
      <c r="A6" s="86" t="s">
        <v>571</v>
      </c>
      <c r="B6" s="30"/>
      <c r="C6" s="73"/>
      <c r="D6" s="73"/>
      <c r="E6" s="73"/>
      <c r="F6" s="72"/>
    </row>
    <row r="7" spans="1:6" ht="21.75" customHeight="1" x14ac:dyDescent="0.25">
      <c r="A7" s="86" t="s">
        <v>501</v>
      </c>
      <c r="B7" s="30"/>
      <c r="C7" s="73"/>
      <c r="D7" s="73"/>
      <c r="E7" s="73"/>
      <c r="F7" s="72"/>
    </row>
    <row r="8" spans="1:6" ht="18" customHeight="1" x14ac:dyDescent="0.25">
      <c r="A8" s="86" t="s">
        <v>500</v>
      </c>
      <c r="B8" s="30"/>
      <c r="C8" s="73"/>
      <c r="D8" s="73"/>
      <c r="E8" s="73"/>
      <c r="F8" s="72"/>
    </row>
    <row r="9" spans="1:6" ht="24" customHeight="1" x14ac:dyDescent="0.25">
      <c r="A9" s="86" t="s">
        <v>495</v>
      </c>
      <c r="B9" s="30"/>
      <c r="C9" s="71"/>
      <c r="D9" s="71"/>
      <c r="E9" s="71"/>
      <c r="F9" s="84" t="s">
        <v>568</v>
      </c>
    </row>
    <row r="10" spans="1:6" ht="17.25" customHeight="1" x14ac:dyDescent="0.25">
      <c r="A10" s="86" t="s">
        <v>496</v>
      </c>
      <c r="B10" s="30"/>
      <c r="C10" s="71"/>
      <c r="D10" s="71"/>
      <c r="E10" s="71"/>
      <c r="F10" s="72"/>
    </row>
    <row r="11" spans="1:6" ht="21.75" customHeight="1" x14ac:dyDescent="0.25">
      <c r="A11" s="86" t="s">
        <v>497</v>
      </c>
      <c r="B11" s="30"/>
      <c r="C11" s="71"/>
      <c r="D11" s="71"/>
      <c r="E11" s="71"/>
      <c r="F11" s="72"/>
    </row>
    <row r="12" spans="1:6" ht="24.75" customHeight="1" x14ac:dyDescent="0.25">
      <c r="A12" s="86" t="s">
        <v>498</v>
      </c>
      <c r="B12" s="30"/>
      <c r="C12" s="71"/>
      <c r="D12" s="71"/>
      <c r="E12" s="71"/>
      <c r="F12" s="72"/>
    </row>
    <row r="13" spans="1:6" ht="21" customHeight="1" x14ac:dyDescent="0.25">
      <c r="A13" s="86" t="s">
        <v>502</v>
      </c>
      <c r="B13" s="30"/>
      <c r="C13" s="71"/>
      <c r="D13" s="71"/>
      <c r="E13" s="71"/>
      <c r="F13" s="72"/>
    </row>
    <row r="14" spans="1:6" ht="83.25" customHeight="1" x14ac:dyDescent="0.25">
      <c r="A14" s="80" t="s">
        <v>321</v>
      </c>
      <c r="B14" s="80" t="s">
        <v>321</v>
      </c>
      <c r="C14" s="81" t="s">
        <v>321</v>
      </c>
      <c r="D14" s="81" t="s">
        <v>321</v>
      </c>
      <c r="E14" s="81" t="s">
        <v>321</v>
      </c>
      <c r="F14" s="41" t="s">
        <v>470</v>
      </c>
    </row>
    <row r="15" spans="1:6" ht="34.5" customHeight="1" x14ac:dyDescent="0.25">
      <c r="A15" s="30" t="s">
        <v>33</v>
      </c>
      <c r="B15" s="35"/>
      <c r="C15" s="38"/>
      <c r="D15" s="28"/>
      <c r="E15" s="38"/>
      <c r="F15" s="32"/>
    </row>
    <row r="16" spans="1:6" ht="34.5" customHeight="1" x14ac:dyDescent="0.25">
      <c r="A16" s="30" t="s">
        <v>591</v>
      </c>
      <c r="B16" s="35"/>
      <c r="C16" s="38"/>
      <c r="D16" s="28"/>
      <c r="E16" s="38"/>
      <c r="F16" s="32"/>
    </row>
    <row r="17" spans="1:6" ht="51" customHeight="1" x14ac:dyDescent="0.25">
      <c r="A17" s="30" t="s">
        <v>318</v>
      </c>
      <c r="B17" s="35"/>
      <c r="C17" s="38"/>
      <c r="D17" s="28"/>
      <c r="E17" s="38"/>
      <c r="F17" s="32"/>
    </row>
    <row r="18" spans="1:6" ht="47.25" x14ac:dyDescent="0.25">
      <c r="A18" s="30" t="s">
        <v>317</v>
      </c>
      <c r="B18" s="35"/>
      <c r="C18" s="38"/>
      <c r="D18" s="28"/>
      <c r="E18" s="38"/>
      <c r="F18" s="32"/>
    </row>
    <row r="19" spans="1:6" ht="36" customHeight="1" x14ac:dyDescent="0.25">
      <c r="A19" s="30" t="s">
        <v>316</v>
      </c>
      <c r="B19" s="35"/>
      <c r="C19" s="38"/>
      <c r="D19" s="28"/>
      <c r="E19" s="38"/>
      <c r="F19" s="32"/>
    </row>
    <row r="20" spans="1:6" x14ac:dyDescent="0.25">
      <c r="A20" s="31" t="s">
        <v>315</v>
      </c>
      <c r="B20" s="35"/>
      <c r="C20" s="38"/>
      <c r="D20" s="28"/>
      <c r="E20" s="38"/>
      <c r="F20" s="32"/>
    </row>
    <row r="21" spans="1:6" ht="31.5" x14ac:dyDescent="0.25">
      <c r="A21" s="31" t="s">
        <v>303</v>
      </c>
      <c r="B21" s="35"/>
      <c r="C21" s="38"/>
      <c r="D21" s="28"/>
      <c r="E21" s="38"/>
      <c r="F21" s="32"/>
    </row>
    <row r="22" spans="1:6" ht="31.5" x14ac:dyDescent="0.25">
      <c r="A22" s="31" t="s">
        <v>305</v>
      </c>
      <c r="B22" s="35"/>
      <c r="C22" s="38"/>
      <c r="D22" s="28"/>
      <c r="E22" s="38"/>
      <c r="F22" s="32"/>
    </row>
    <row r="23" spans="1:6" ht="47.25" x14ac:dyDescent="0.25">
      <c r="A23" s="31" t="s">
        <v>319</v>
      </c>
      <c r="B23" s="35"/>
      <c r="C23" s="38"/>
      <c r="D23" s="28"/>
      <c r="E23" s="38"/>
      <c r="F23" s="32"/>
    </row>
    <row r="24" spans="1:6" ht="47.25" x14ac:dyDescent="0.25">
      <c r="A24" s="31" t="s">
        <v>406</v>
      </c>
      <c r="B24" s="35"/>
      <c r="C24" s="38"/>
      <c r="D24" s="28"/>
      <c r="E24" s="38"/>
      <c r="F24" s="32"/>
    </row>
    <row r="25" spans="1:6" ht="63" x14ac:dyDescent="0.25">
      <c r="A25" s="31" t="s">
        <v>320</v>
      </c>
      <c r="B25" s="35"/>
      <c r="C25" s="38"/>
      <c r="D25" s="28"/>
      <c r="E25" s="38"/>
      <c r="F25" s="32"/>
    </row>
    <row r="26" spans="1:6" ht="18.75" x14ac:dyDescent="0.3">
      <c r="A26" s="75" t="s">
        <v>250</v>
      </c>
      <c r="B26" s="76"/>
      <c r="C26" s="77"/>
      <c r="D26" s="78"/>
      <c r="E26" s="77"/>
      <c r="F26" s="67"/>
    </row>
    <row r="27" spans="1:6" ht="18.75" x14ac:dyDescent="0.25">
      <c r="A27" s="80" t="s">
        <v>159</v>
      </c>
      <c r="B27" s="80" t="s">
        <v>159</v>
      </c>
      <c r="C27" s="80" t="s">
        <v>159</v>
      </c>
      <c r="D27" s="81" t="s">
        <v>159</v>
      </c>
      <c r="E27" s="81" t="s">
        <v>159</v>
      </c>
      <c r="F27" s="32"/>
    </row>
    <row r="28" spans="1:6" ht="47.25" x14ac:dyDescent="0.25">
      <c r="A28" s="31" t="s">
        <v>244</v>
      </c>
      <c r="B28" s="36"/>
      <c r="C28" s="38"/>
      <c r="D28" s="28"/>
      <c r="E28" s="38"/>
      <c r="F28" s="45" t="s">
        <v>560</v>
      </c>
    </row>
    <row r="29" spans="1:6" ht="37.5" customHeight="1" x14ac:dyDescent="0.25">
      <c r="A29" s="31" t="s">
        <v>114</v>
      </c>
      <c r="B29" s="36"/>
      <c r="C29" s="38"/>
      <c r="D29" s="28"/>
      <c r="E29" s="38"/>
      <c r="F29" s="32"/>
    </row>
    <row r="30" spans="1:6" ht="94.5" x14ac:dyDescent="0.25">
      <c r="A30" s="31" t="s">
        <v>115</v>
      </c>
      <c r="B30" s="36"/>
      <c r="C30" s="38"/>
      <c r="D30" s="28"/>
      <c r="E30" s="38"/>
      <c r="F30" s="45" t="s">
        <v>560</v>
      </c>
    </row>
    <row r="31" spans="1:6" ht="48" customHeight="1" x14ac:dyDescent="0.25">
      <c r="A31" s="31" t="s">
        <v>161</v>
      </c>
      <c r="B31" s="36"/>
      <c r="C31" s="38"/>
      <c r="D31" s="28"/>
      <c r="E31" s="38"/>
      <c r="F31" s="32"/>
    </row>
    <row r="32" spans="1:6" ht="31.5" x14ac:dyDescent="0.25">
      <c r="A32" s="31" t="s">
        <v>162</v>
      </c>
      <c r="B32" s="36"/>
      <c r="C32" s="38"/>
      <c r="D32" s="28"/>
      <c r="E32" s="38"/>
      <c r="F32" s="45" t="s">
        <v>560</v>
      </c>
    </row>
    <row r="33" spans="1:6" ht="27" customHeight="1" x14ac:dyDescent="0.25">
      <c r="A33" s="31" t="s">
        <v>163</v>
      </c>
      <c r="B33" s="36"/>
      <c r="C33" s="38"/>
      <c r="D33" s="28"/>
      <c r="E33" s="38"/>
      <c r="F33" s="45" t="s">
        <v>560</v>
      </c>
    </row>
    <row r="34" spans="1:6" x14ac:dyDescent="0.25">
      <c r="A34" s="31" t="s">
        <v>116</v>
      </c>
      <c r="B34" s="36"/>
      <c r="C34" s="38"/>
      <c r="D34" s="28"/>
      <c r="E34" s="38"/>
      <c r="F34" s="32"/>
    </row>
    <row r="35" spans="1:6" x14ac:dyDescent="0.25">
      <c r="A35" s="31" t="s">
        <v>117</v>
      </c>
      <c r="B35" s="36"/>
      <c r="C35" s="38"/>
      <c r="D35" s="28"/>
      <c r="E35" s="38"/>
      <c r="F35" s="32"/>
    </row>
    <row r="36" spans="1:6" x14ac:dyDescent="0.25">
      <c r="A36" s="31" t="s">
        <v>215</v>
      </c>
      <c r="B36" s="36"/>
      <c r="C36" s="38"/>
      <c r="D36" s="28"/>
      <c r="E36" s="38"/>
      <c r="F36" s="45" t="s">
        <v>560</v>
      </c>
    </row>
    <row r="37" spans="1:6" ht="47.25" x14ac:dyDescent="0.25">
      <c r="A37" s="31" t="s">
        <v>216</v>
      </c>
      <c r="B37" s="36"/>
      <c r="C37" s="38"/>
      <c r="D37" s="28"/>
      <c r="E37" s="38"/>
      <c r="F37" s="45" t="s">
        <v>560</v>
      </c>
    </row>
    <row r="38" spans="1:6" ht="21.75" customHeight="1" x14ac:dyDescent="0.25">
      <c r="A38" s="31" t="s">
        <v>220</v>
      </c>
      <c r="B38" s="36"/>
      <c r="C38" s="38"/>
      <c r="D38" s="28"/>
      <c r="E38" s="38"/>
      <c r="F38" s="45" t="s">
        <v>560</v>
      </c>
    </row>
    <row r="39" spans="1:6" ht="21.75" customHeight="1" x14ac:dyDescent="0.25">
      <c r="A39" s="31" t="s">
        <v>118</v>
      </c>
      <c r="B39" s="36"/>
      <c r="C39" s="38"/>
      <c r="D39" s="28"/>
      <c r="E39" s="38"/>
      <c r="F39" s="45" t="s">
        <v>560</v>
      </c>
    </row>
    <row r="40" spans="1:6" ht="21.75" customHeight="1" x14ac:dyDescent="0.25">
      <c r="A40" s="31" t="s">
        <v>119</v>
      </c>
      <c r="B40" s="36"/>
      <c r="C40" s="38"/>
      <c r="D40" s="28"/>
      <c r="E40" s="38"/>
      <c r="F40" s="45" t="s">
        <v>560</v>
      </c>
    </row>
    <row r="41" spans="1:6" ht="37.5" customHeight="1" x14ac:dyDescent="0.25">
      <c r="A41" s="31" t="s">
        <v>249</v>
      </c>
      <c r="B41" s="36"/>
      <c r="C41" s="38"/>
      <c r="D41" s="28"/>
      <c r="E41" s="38"/>
      <c r="F41" s="32"/>
    </row>
    <row r="42" spans="1:6" x14ac:dyDescent="0.25">
      <c r="A42" s="31" t="s">
        <v>298</v>
      </c>
      <c r="B42" s="36"/>
      <c r="C42" s="38"/>
      <c r="D42" s="28"/>
      <c r="E42" s="38"/>
      <c r="F42" s="32"/>
    </row>
    <row r="43" spans="1:6" x14ac:dyDescent="0.25">
      <c r="A43" s="31" t="s">
        <v>299</v>
      </c>
      <c r="B43" s="36"/>
      <c r="C43" s="38"/>
      <c r="D43" s="28"/>
      <c r="E43" s="38"/>
      <c r="F43" s="45" t="s">
        <v>560</v>
      </c>
    </row>
    <row r="44" spans="1:6" ht="31.5" x14ac:dyDescent="0.25">
      <c r="A44" s="31" t="s">
        <v>300</v>
      </c>
      <c r="B44" s="36"/>
      <c r="C44" s="38"/>
      <c r="D44" s="28"/>
      <c r="E44" s="38"/>
      <c r="F44" s="45" t="s">
        <v>560</v>
      </c>
    </row>
    <row r="45" spans="1:6" ht="55.5" customHeight="1" x14ac:dyDescent="0.25">
      <c r="A45" s="31" t="s">
        <v>275</v>
      </c>
      <c r="B45" s="36"/>
      <c r="C45" s="38"/>
      <c r="D45" s="28"/>
      <c r="E45" s="38"/>
      <c r="F45" s="45" t="s">
        <v>560</v>
      </c>
    </row>
    <row r="46" spans="1:6" ht="81" customHeight="1" x14ac:dyDescent="0.25">
      <c r="A46" s="31" t="s">
        <v>253</v>
      </c>
      <c r="B46" s="36"/>
      <c r="C46" s="38"/>
      <c r="D46" s="28"/>
      <c r="E46" s="38"/>
      <c r="F46" s="45" t="s">
        <v>560</v>
      </c>
    </row>
    <row r="47" spans="1:6" ht="47.25" x14ac:dyDescent="0.25">
      <c r="A47" s="31" t="s">
        <v>254</v>
      </c>
      <c r="B47" s="36"/>
      <c r="C47" s="38"/>
      <c r="D47" s="28"/>
      <c r="E47" s="38"/>
      <c r="F47" s="32"/>
    </row>
    <row r="48" spans="1:6" ht="31.5" x14ac:dyDescent="0.25">
      <c r="A48" s="31" t="s">
        <v>243</v>
      </c>
      <c r="B48" s="36"/>
      <c r="C48" s="38"/>
      <c r="D48" s="28"/>
      <c r="E48" s="38"/>
      <c r="F48" s="45" t="s">
        <v>560</v>
      </c>
    </row>
    <row r="49" spans="1:6" x14ac:dyDescent="0.25">
      <c r="A49" s="31" t="s">
        <v>120</v>
      </c>
      <c r="B49" s="36"/>
      <c r="C49" s="38"/>
      <c r="D49" s="28"/>
      <c r="E49" s="38"/>
      <c r="F49" s="45" t="s">
        <v>560</v>
      </c>
    </row>
    <row r="50" spans="1:6" ht="18.75" x14ac:dyDescent="0.25">
      <c r="A50" s="80" t="s">
        <v>504</v>
      </c>
      <c r="B50" s="80" t="s">
        <v>504</v>
      </c>
      <c r="C50" s="80" t="s">
        <v>504</v>
      </c>
      <c r="D50" s="80" t="s">
        <v>504</v>
      </c>
      <c r="E50" s="80" t="s">
        <v>504</v>
      </c>
      <c r="F50" s="32"/>
    </row>
    <row r="51" spans="1:6" x14ac:dyDescent="0.25">
      <c r="A51" s="30" t="s">
        <v>121</v>
      </c>
      <c r="B51" s="35"/>
      <c r="C51" s="38"/>
      <c r="D51" s="28"/>
      <c r="E51" s="38"/>
      <c r="F51" s="32"/>
    </row>
    <row r="52" spans="1:6" ht="31.5" x14ac:dyDescent="0.25">
      <c r="A52" s="30" t="s">
        <v>166</v>
      </c>
      <c r="B52" s="35"/>
      <c r="C52" s="38"/>
      <c r="D52" s="28"/>
      <c r="E52" s="38"/>
      <c r="F52" s="32"/>
    </row>
    <row r="53" spans="1:6" x14ac:dyDescent="0.25">
      <c r="A53" s="30" t="s">
        <v>160</v>
      </c>
      <c r="B53" s="35"/>
      <c r="C53" s="38"/>
      <c r="D53" s="28"/>
      <c r="E53" s="38"/>
      <c r="F53" s="32"/>
    </row>
    <row r="54" spans="1:6" ht="31.5" x14ac:dyDescent="0.25">
      <c r="A54" s="30" t="s">
        <v>164</v>
      </c>
      <c r="B54" s="35"/>
      <c r="C54" s="38"/>
      <c r="D54" s="28"/>
      <c r="E54" s="38"/>
      <c r="F54" s="32"/>
    </row>
    <row r="55" spans="1:6" x14ac:dyDescent="0.25">
      <c r="A55" s="30" t="s">
        <v>122</v>
      </c>
      <c r="B55" s="35"/>
      <c r="C55" s="38"/>
      <c r="D55" s="28"/>
      <c r="E55" s="38"/>
      <c r="F55" s="32"/>
    </row>
    <row r="56" spans="1:6" ht="18.75" x14ac:dyDescent="0.25">
      <c r="A56" s="80" t="s">
        <v>205</v>
      </c>
      <c r="B56" s="80" t="s">
        <v>205</v>
      </c>
      <c r="C56" s="80" t="s">
        <v>205</v>
      </c>
      <c r="D56" s="81" t="s">
        <v>205</v>
      </c>
      <c r="E56" s="81" t="s">
        <v>205</v>
      </c>
      <c r="F56" s="32"/>
    </row>
    <row r="57" spans="1:6" x14ac:dyDescent="0.25">
      <c r="A57" s="34" t="s">
        <v>207</v>
      </c>
      <c r="B57" s="37"/>
      <c r="C57" s="38"/>
      <c r="D57" s="28"/>
      <c r="E57" s="38"/>
      <c r="F57" s="43" t="s">
        <v>567</v>
      </c>
    </row>
    <row r="58" spans="1:6" ht="31.5" x14ac:dyDescent="0.25">
      <c r="A58" s="34" t="s">
        <v>222</v>
      </c>
      <c r="B58" s="37"/>
      <c r="C58" s="38"/>
      <c r="D58" s="28"/>
      <c r="E58" s="38"/>
      <c r="F58" s="43" t="s">
        <v>560</v>
      </c>
    </row>
    <row r="59" spans="1:6" x14ac:dyDescent="0.25">
      <c r="A59" s="34" t="s">
        <v>208</v>
      </c>
      <c r="B59" s="37"/>
      <c r="C59" s="38"/>
      <c r="D59" s="28"/>
      <c r="E59" s="38"/>
      <c r="F59" s="32"/>
    </row>
    <row r="60" spans="1:6" ht="47.25" x14ac:dyDescent="0.25">
      <c r="A60" s="34" t="s">
        <v>211</v>
      </c>
      <c r="B60" s="37"/>
      <c r="C60" s="32"/>
      <c r="D60" s="28"/>
      <c r="E60" s="32"/>
      <c r="F60" s="67"/>
    </row>
    <row r="61" spans="1:6" ht="42" customHeight="1" x14ac:dyDescent="0.25">
      <c r="A61" s="34" t="s">
        <v>308</v>
      </c>
      <c r="B61" s="37"/>
      <c r="C61" s="38"/>
      <c r="D61" s="28"/>
      <c r="E61" s="38"/>
      <c r="F61" s="43" t="s">
        <v>560</v>
      </c>
    </row>
    <row r="62" spans="1:6" ht="33" customHeight="1" x14ac:dyDescent="0.25">
      <c r="A62" s="34" t="s">
        <v>209</v>
      </c>
      <c r="B62" s="37"/>
      <c r="C62" s="38"/>
      <c r="D62" s="28"/>
      <c r="E62" s="38"/>
      <c r="F62" s="43" t="s">
        <v>560</v>
      </c>
    </row>
    <row r="63" spans="1:6" ht="33" customHeight="1" x14ac:dyDescent="0.25">
      <c r="A63" s="34" t="s">
        <v>210</v>
      </c>
      <c r="B63" s="37"/>
      <c r="C63" s="38"/>
      <c r="D63" s="28"/>
      <c r="E63" s="38"/>
      <c r="F63" s="32"/>
    </row>
    <row r="64" spans="1:6" ht="33" customHeight="1" x14ac:dyDescent="0.25">
      <c r="A64" s="34" t="s">
        <v>212</v>
      </c>
      <c r="B64" s="37"/>
      <c r="C64" s="38"/>
      <c r="D64" s="28"/>
      <c r="E64" s="38"/>
      <c r="F64" s="32"/>
    </row>
    <row r="65" spans="1:6" ht="59.25" customHeight="1" x14ac:dyDescent="0.25">
      <c r="A65" s="80" t="s">
        <v>505</v>
      </c>
      <c r="B65" s="80" t="s">
        <v>475</v>
      </c>
      <c r="C65" s="80" t="s">
        <v>475</v>
      </c>
      <c r="D65" s="80" t="s">
        <v>475</v>
      </c>
      <c r="E65" s="80" t="s">
        <v>475</v>
      </c>
      <c r="F65" s="31"/>
    </row>
    <row r="66" spans="1:6" ht="33" customHeight="1" x14ac:dyDescent="0.25">
      <c r="A66" s="34" t="s">
        <v>473</v>
      </c>
      <c r="B66" s="37"/>
      <c r="C66" s="66"/>
      <c r="D66" s="28"/>
      <c r="E66" s="66"/>
      <c r="F66" s="31"/>
    </row>
    <row r="67" spans="1:6" ht="33" customHeight="1" x14ac:dyDescent="0.25">
      <c r="A67" s="34"/>
      <c r="B67" s="37"/>
      <c r="C67" s="66"/>
      <c r="D67" s="28"/>
      <c r="E67" s="66"/>
      <c r="F67" s="31"/>
    </row>
    <row r="68" spans="1:6" ht="33" customHeight="1" x14ac:dyDescent="0.25">
      <c r="A68" s="34"/>
      <c r="B68" s="37"/>
      <c r="C68" s="66"/>
      <c r="D68" s="28"/>
      <c r="E68" s="66"/>
      <c r="F68" s="31"/>
    </row>
    <row r="69" spans="1:6" ht="33" customHeight="1" x14ac:dyDescent="0.25">
      <c r="A69" s="34"/>
      <c r="B69" s="37"/>
      <c r="C69" s="66"/>
      <c r="D69" s="28"/>
      <c r="E69" s="66"/>
      <c r="F69" s="31"/>
    </row>
    <row r="70" spans="1:6" ht="33" customHeight="1" x14ac:dyDescent="0.25">
      <c r="A70" s="30" t="s">
        <v>474</v>
      </c>
      <c r="B70" s="37"/>
      <c r="C70" s="36"/>
      <c r="D70" s="28"/>
      <c r="E70" s="36"/>
      <c r="F70" s="68"/>
    </row>
    <row r="71" spans="1:6" ht="74.25" customHeight="1" x14ac:dyDescent="0.25">
      <c r="A71" s="80" t="s">
        <v>206</v>
      </c>
      <c r="B71" s="80" t="s">
        <v>206</v>
      </c>
      <c r="C71" s="80" t="s">
        <v>206</v>
      </c>
      <c r="D71" s="81" t="s">
        <v>206</v>
      </c>
      <c r="E71" s="81" t="s">
        <v>206</v>
      </c>
      <c r="F71" s="44" t="s">
        <v>566</v>
      </c>
    </row>
    <row r="72" spans="1:6" ht="33" customHeight="1" x14ac:dyDescent="0.25">
      <c r="A72" s="30" t="s">
        <v>123</v>
      </c>
      <c r="B72" s="35"/>
      <c r="C72" s="36"/>
      <c r="D72" s="28"/>
      <c r="E72" s="36"/>
      <c r="F72" s="31"/>
    </row>
    <row r="73" spans="1:6" ht="33" customHeight="1" x14ac:dyDescent="0.25">
      <c r="A73" s="30" t="s">
        <v>124</v>
      </c>
      <c r="B73" s="35"/>
      <c r="C73" s="36"/>
      <c r="D73" s="28"/>
      <c r="E73" s="36"/>
      <c r="F73" s="31"/>
    </row>
    <row r="74" spans="1:6" ht="33" customHeight="1" x14ac:dyDescent="0.25">
      <c r="A74" s="30" t="s">
        <v>125</v>
      </c>
      <c r="B74" s="35"/>
      <c r="C74" s="36"/>
      <c r="D74" s="28"/>
      <c r="E74" s="36"/>
      <c r="F74" s="31"/>
    </row>
    <row r="75" spans="1:6" ht="33" customHeight="1" x14ac:dyDescent="0.25">
      <c r="A75" s="30" t="s">
        <v>126</v>
      </c>
      <c r="B75" s="35"/>
      <c r="C75" s="36"/>
      <c r="D75" s="28"/>
      <c r="E75" s="36"/>
      <c r="F75" s="31"/>
    </row>
    <row r="76" spans="1:6" ht="33" customHeight="1" x14ac:dyDescent="0.25">
      <c r="A76" s="31" t="s">
        <v>214</v>
      </c>
      <c r="B76" s="36"/>
      <c r="C76" s="36"/>
      <c r="D76" s="28"/>
      <c r="E76" s="36"/>
      <c r="F76" s="31"/>
    </row>
    <row r="77" spans="1:6" ht="65.25" customHeight="1" x14ac:dyDescent="0.25">
      <c r="A77" s="80" t="s">
        <v>484</v>
      </c>
      <c r="B77" s="80" t="s">
        <v>484</v>
      </c>
      <c r="C77" s="80" t="s">
        <v>484</v>
      </c>
      <c r="D77" s="80" t="s">
        <v>484</v>
      </c>
      <c r="E77" s="80" t="s">
        <v>484</v>
      </c>
      <c r="F77" s="44" t="s">
        <v>563</v>
      </c>
    </row>
    <row r="78" spans="1:6" ht="66" customHeight="1" x14ac:dyDescent="0.25">
      <c r="A78" s="70" t="s">
        <v>585</v>
      </c>
      <c r="B78" s="36"/>
      <c r="C78" s="36"/>
      <c r="D78" s="28"/>
      <c r="E78" s="36"/>
      <c r="F78" s="31"/>
    </row>
    <row r="79" spans="1:6" ht="33" customHeight="1" x14ac:dyDescent="0.25">
      <c r="A79" s="70" t="s">
        <v>486</v>
      </c>
      <c r="B79" s="36"/>
      <c r="C79" s="36"/>
      <c r="D79" s="28"/>
      <c r="E79" s="36"/>
      <c r="F79" s="31"/>
    </row>
    <row r="80" spans="1:6" ht="33" customHeight="1" x14ac:dyDescent="0.25">
      <c r="A80" s="70" t="s">
        <v>586</v>
      </c>
      <c r="B80" s="36"/>
      <c r="C80" s="36"/>
      <c r="D80" s="28"/>
      <c r="E80" s="36"/>
      <c r="F80" s="31"/>
    </row>
    <row r="81" spans="1:6" ht="33" customHeight="1" x14ac:dyDescent="0.25">
      <c r="A81" s="70" t="s">
        <v>488</v>
      </c>
      <c r="B81" s="36"/>
      <c r="C81" s="36"/>
      <c r="D81" s="28"/>
      <c r="E81" s="36"/>
      <c r="F81" s="31"/>
    </row>
    <row r="82" spans="1:6" ht="33" customHeight="1" x14ac:dyDescent="0.25">
      <c r="A82" s="69" t="s">
        <v>487</v>
      </c>
      <c r="B82" s="36"/>
      <c r="C82" s="36"/>
      <c r="D82" s="28"/>
      <c r="E82" s="36"/>
      <c r="F82" s="31"/>
    </row>
    <row r="83" spans="1:6" ht="33" customHeight="1" x14ac:dyDescent="0.25">
      <c r="A83" s="31" t="s">
        <v>489</v>
      </c>
      <c r="B83" s="36"/>
      <c r="C83" s="36"/>
      <c r="D83" s="28"/>
      <c r="E83" s="36"/>
      <c r="F83" s="31"/>
    </row>
    <row r="84" spans="1:6" ht="33" customHeight="1" x14ac:dyDescent="0.25">
      <c r="A84" s="31" t="s">
        <v>490</v>
      </c>
      <c r="B84" s="36"/>
      <c r="C84" s="36"/>
      <c r="D84" s="28"/>
      <c r="E84" s="36"/>
      <c r="F84" s="31"/>
    </row>
    <row r="85" spans="1:6" ht="33" customHeight="1" x14ac:dyDescent="0.25">
      <c r="A85" s="31" t="s">
        <v>491</v>
      </c>
      <c r="B85" s="36"/>
      <c r="C85" s="36"/>
      <c r="D85" s="28"/>
      <c r="E85" s="36"/>
      <c r="F85" s="31"/>
    </row>
    <row r="86" spans="1:6" ht="96.75" customHeight="1" x14ac:dyDescent="0.25">
      <c r="A86" s="31" t="s">
        <v>584</v>
      </c>
      <c r="B86" s="36"/>
      <c r="C86" s="36"/>
      <c r="D86" s="28"/>
      <c r="E86" s="36"/>
      <c r="F86" s="31"/>
    </row>
    <row r="87" spans="1:6" ht="56.25" customHeight="1" x14ac:dyDescent="0.25">
      <c r="A87" s="31" t="s">
        <v>492</v>
      </c>
      <c r="B87" s="36"/>
      <c r="C87" s="36"/>
      <c r="D87" s="28"/>
      <c r="E87" s="36"/>
      <c r="F87" s="31"/>
    </row>
    <row r="88" spans="1:6" ht="33" customHeight="1" x14ac:dyDescent="0.25">
      <c r="A88" s="31" t="s">
        <v>587</v>
      </c>
      <c r="B88" s="36"/>
      <c r="C88" s="36"/>
      <c r="D88" s="28"/>
      <c r="E88" s="36"/>
      <c r="F88" s="31"/>
    </row>
    <row r="89" spans="1:6" ht="33" customHeight="1" x14ac:dyDescent="0.25">
      <c r="A89" s="31" t="s">
        <v>493</v>
      </c>
      <c r="B89" s="36"/>
      <c r="C89" s="36"/>
      <c r="D89" s="28"/>
      <c r="E89" s="36"/>
      <c r="F89" s="31"/>
    </row>
    <row r="90" spans="1:6" ht="83.25" customHeight="1" x14ac:dyDescent="0.25">
      <c r="A90" s="31" t="s">
        <v>588</v>
      </c>
      <c r="B90" s="36"/>
      <c r="C90" s="36"/>
      <c r="D90" s="28"/>
      <c r="E90" s="36"/>
      <c r="F90" s="44" t="s">
        <v>565</v>
      </c>
    </row>
    <row r="91" spans="1:6" ht="47.25" customHeight="1" x14ac:dyDescent="0.25">
      <c r="A91" s="31" t="s">
        <v>589</v>
      </c>
      <c r="B91" s="36"/>
      <c r="C91" s="36"/>
      <c r="D91" s="28"/>
      <c r="E91" s="36"/>
      <c r="F91" s="44"/>
    </row>
    <row r="92" spans="1:6" ht="47.25" customHeight="1" x14ac:dyDescent="0.25">
      <c r="A92" s="31" t="s">
        <v>590</v>
      </c>
      <c r="B92" s="36"/>
      <c r="C92" s="36"/>
      <c r="D92" s="28"/>
      <c r="E92" s="36"/>
      <c r="F92" s="44"/>
    </row>
    <row r="93" spans="1:6" ht="47.25" customHeight="1" x14ac:dyDescent="0.25">
      <c r="A93" s="31" t="s">
        <v>592</v>
      </c>
      <c r="B93" s="36"/>
      <c r="C93" s="36"/>
      <c r="D93" s="28"/>
      <c r="E93" s="36"/>
      <c r="F93" s="44"/>
    </row>
    <row r="94" spans="1:6" ht="72" customHeight="1" x14ac:dyDescent="0.25">
      <c r="A94" s="31" t="s">
        <v>572</v>
      </c>
      <c r="B94" s="36"/>
      <c r="C94" s="36"/>
      <c r="D94" s="28"/>
      <c r="E94" s="36"/>
      <c r="F94" s="44" t="s">
        <v>564</v>
      </c>
    </row>
    <row r="95" spans="1:6" ht="60" customHeight="1" x14ac:dyDescent="0.25">
      <c r="A95" s="80" t="s">
        <v>273</v>
      </c>
      <c r="B95" s="80" t="s">
        <v>273</v>
      </c>
      <c r="C95" s="80" t="s">
        <v>273</v>
      </c>
      <c r="D95" s="81" t="s">
        <v>273</v>
      </c>
      <c r="E95" s="81" t="s">
        <v>273</v>
      </c>
      <c r="F95" s="45" t="s">
        <v>559</v>
      </c>
    </row>
    <row r="96" spans="1:6" ht="30.75" customHeight="1" x14ac:dyDescent="0.25">
      <c r="A96" s="31" t="s">
        <v>255</v>
      </c>
      <c r="B96" s="36"/>
      <c r="C96" s="38"/>
      <c r="D96" s="28"/>
      <c r="E96" s="38"/>
      <c r="F96" s="43" t="s">
        <v>560</v>
      </c>
    </row>
    <row r="97" spans="1:6" ht="30.75" customHeight="1" x14ac:dyDescent="0.25">
      <c r="A97" s="31" t="s">
        <v>270</v>
      </c>
      <c r="B97" s="36"/>
      <c r="C97" s="38"/>
      <c r="D97" s="28"/>
      <c r="E97" s="38"/>
      <c r="F97" s="67"/>
    </row>
    <row r="98" spans="1:6" ht="30.75" customHeight="1" x14ac:dyDescent="0.25">
      <c r="A98" s="31" t="s">
        <v>269</v>
      </c>
      <c r="B98" s="36"/>
      <c r="C98" s="38"/>
      <c r="D98" s="28"/>
      <c r="E98" s="38"/>
      <c r="F98" s="67"/>
    </row>
    <row r="99" spans="1:6" ht="46.5" customHeight="1" x14ac:dyDescent="0.25">
      <c r="A99" s="31" t="s">
        <v>271</v>
      </c>
      <c r="B99" s="36"/>
      <c r="C99" s="38"/>
      <c r="D99" s="28"/>
      <c r="E99" s="38"/>
      <c r="F99" s="43" t="s">
        <v>560</v>
      </c>
    </row>
    <row r="100" spans="1:6" ht="46.5" customHeight="1" x14ac:dyDescent="0.25">
      <c r="A100" s="31" t="s">
        <v>272</v>
      </c>
      <c r="B100" s="36"/>
      <c r="C100" s="38"/>
      <c r="D100" s="28"/>
      <c r="E100" s="38"/>
      <c r="F100" s="43" t="s">
        <v>561</v>
      </c>
    </row>
    <row r="101" spans="1:6" ht="48" customHeight="1" x14ac:dyDescent="0.25">
      <c r="A101" s="31" t="s">
        <v>562</v>
      </c>
      <c r="B101" s="36"/>
      <c r="C101" s="38"/>
      <c r="D101" s="28"/>
      <c r="E101" s="38"/>
      <c r="F101" s="32"/>
    </row>
    <row r="102" spans="1:6" ht="46.5" customHeight="1" x14ac:dyDescent="0.25">
      <c r="A102" s="31" t="s">
        <v>506</v>
      </c>
      <c r="B102" s="36"/>
      <c r="C102" s="38"/>
      <c r="D102" s="28"/>
      <c r="E102" s="38"/>
      <c r="F102" s="32"/>
    </row>
    <row r="103" spans="1:6" ht="47.25" x14ac:dyDescent="0.25">
      <c r="A103" s="80" t="s">
        <v>290</v>
      </c>
      <c r="B103" s="80" t="s">
        <v>290</v>
      </c>
      <c r="C103" s="80" t="s">
        <v>290</v>
      </c>
      <c r="D103" s="81" t="s">
        <v>290</v>
      </c>
      <c r="E103" s="81" t="s">
        <v>290</v>
      </c>
      <c r="F103" s="43" t="s">
        <v>558</v>
      </c>
    </row>
    <row r="104" spans="1:6" ht="31.5" x14ac:dyDescent="0.25">
      <c r="A104" s="31" t="s">
        <v>291</v>
      </c>
      <c r="B104" s="36"/>
      <c r="C104" s="38"/>
      <c r="D104" s="28"/>
      <c r="E104" s="38"/>
      <c r="F104" s="32"/>
    </row>
    <row r="105" spans="1:6" x14ac:dyDescent="0.25">
      <c r="A105" s="31" t="s">
        <v>292</v>
      </c>
      <c r="B105" s="36"/>
      <c r="C105" s="38"/>
      <c r="D105" s="28"/>
      <c r="E105" s="38"/>
      <c r="F105" s="32"/>
    </row>
    <row r="106" spans="1:6" ht="47.25" x14ac:dyDescent="0.25">
      <c r="A106" s="31" t="s">
        <v>312</v>
      </c>
      <c r="B106" s="36"/>
      <c r="C106" s="38"/>
      <c r="D106" s="28"/>
      <c r="E106" s="38"/>
      <c r="F106" s="32"/>
    </row>
    <row r="107" spans="1:6" ht="67.5" customHeight="1" x14ac:dyDescent="0.25">
      <c r="A107" s="31" t="s">
        <v>293</v>
      </c>
      <c r="B107" s="36"/>
      <c r="C107" s="38"/>
      <c r="D107" s="28"/>
      <c r="E107" s="38"/>
      <c r="F107" s="32"/>
    </row>
    <row r="108" spans="1:6" ht="47.25" x14ac:dyDescent="0.25">
      <c r="A108" s="31" t="s">
        <v>294</v>
      </c>
      <c r="B108" s="36"/>
      <c r="C108" s="38"/>
      <c r="D108" s="28"/>
      <c r="E108" s="38"/>
      <c r="F108" s="32"/>
    </row>
    <row r="109" spans="1:6" ht="47.25" x14ac:dyDescent="0.25">
      <c r="A109" s="80" t="s">
        <v>127</v>
      </c>
      <c r="B109" s="80" t="s">
        <v>127</v>
      </c>
      <c r="C109" s="80" t="s">
        <v>127</v>
      </c>
      <c r="D109" s="81" t="s">
        <v>127</v>
      </c>
      <c r="E109" s="81" t="s">
        <v>127</v>
      </c>
      <c r="F109" s="43" t="s">
        <v>576</v>
      </c>
    </row>
    <row r="110" spans="1:6" x14ac:dyDescent="0.25">
      <c r="A110" s="31" t="s">
        <v>128</v>
      </c>
      <c r="B110" s="36"/>
      <c r="C110" s="38"/>
      <c r="D110" s="28"/>
      <c r="E110" s="38"/>
      <c r="F110" s="32"/>
    </row>
    <row r="111" spans="1:6" x14ac:dyDescent="0.25">
      <c r="A111" s="31" t="s">
        <v>129</v>
      </c>
      <c r="B111" s="36"/>
      <c r="C111" s="38"/>
      <c r="D111" s="28"/>
      <c r="E111" s="38"/>
      <c r="F111" s="32"/>
    </row>
    <row r="112" spans="1:6" x14ac:dyDescent="0.25">
      <c r="A112" s="31" t="s">
        <v>130</v>
      </c>
      <c r="B112" s="36"/>
      <c r="C112" s="38"/>
      <c r="D112" s="28"/>
      <c r="E112" s="38"/>
      <c r="F112" s="32"/>
    </row>
    <row r="113" spans="1:6" x14ac:dyDescent="0.25">
      <c r="A113" s="31" t="s">
        <v>131</v>
      </c>
      <c r="B113" s="36"/>
      <c r="C113" s="38"/>
      <c r="D113" s="28"/>
      <c r="E113" s="38"/>
      <c r="F113" s="32"/>
    </row>
    <row r="114" spans="1:6" ht="31.5" x14ac:dyDescent="0.25">
      <c r="A114" s="31" t="s">
        <v>507</v>
      </c>
      <c r="B114" s="36"/>
      <c r="C114" s="38"/>
      <c r="D114" s="28"/>
      <c r="E114" s="38"/>
      <c r="F114" s="43" t="s">
        <v>557</v>
      </c>
    </row>
    <row r="115" spans="1:6" x14ac:dyDescent="0.25">
      <c r="A115" s="31" t="s">
        <v>307</v>
      </c>
      <c r="B115" s="36"/>
      <c r="C115" s="38"/>
      <c r="D115" s="28"/>
      <c r="E115" s="38"/>
      <c r="F115" s="32"/>
    </row>
    <row r="116" spans="1:6" ht="18.75" x14ac:dyDescent="0.25">
      <c r="A116" s="80" t="s">
        <v>132</v>
      </c>
      <c r="B116" s="80" t="s">
        <v>132</v>
      </c>
      <c r="C116" s="80" t="s">
        <v>132</v>
      </c>
      <c r="D116" s="81" t="s">
        <v>132</v>
      </c>
      <c r="E116" s="81" t="s">
        <v>132</v>
      </c>
      <c r="F116" s="32"/>
    </row>
    <row r="117" spans="1:6" ht="27.75" customHeight="1" x14ac:dyDescent="0.25">
      <c r="A117" s="31" t="s">
        <v>133</v>
      </c>
      <c r="B117" s="36"/>
      <c r="C117" s="38"/>
      <c r="D117" s="28"/>
      <c r="E117" s="38"/>
      <c r="F117" s="43" t="s">
        <v>420</v>
      </c>
    </row>
    <row r="118" spans="1:6" x14ac:dyDescent="0.25">
      <c r="A118" s="31" t="s">
        <v>134</v>
      </c>
      <c r="B118" s="36"/>
      <c r="C118" s="38"/>
      <c r="D118" s="28"/>
      <c r="E118" s="38"/>
      <c r="F118" s="43" t="s">
        <v>545</v>
      </c>
    </row>
    <row r="119" spans="1:6" ht="15" customHeight="1" x14ac:dyDescent="0.25">
      <c r="A119" s="31" t="s">
        <v>135</v>
      </c>
      <c r="B119" s="36"/>
      <c r="C119" s="38"/>
      <c r="D119" s="28"/>
      <c r="E119" s="38"/>
      <c r="F119" s="67"/>
    </row>
    <row r="120" spans="1:6" x14ac:dyDescent="0.25">
      <c r="A120" s="31" t="s">
        <v>136</v>
      </c>
      <c r="B120" s="36"/>
      <c r="C120" s="38"/>
      <c r="D120" s="28"/>
      <c r="E120" s="38"/>
      <c r="F120" s="67"/>
    </row>
    <row r="121" spans="1:6" x14ac:dyDescent="0.25">
      <c r="A121" s="31" t="s">
        <v>137</v>
      </c>
      <c r="B121" s="36"/>
      <c r="C121" s="38"/>
      <c r="D121" s="28"/>
      <c r="E121" s="38"/>
      <c r="F121" s="43" t="s">
        <v>548</v>
      </c>
    </row>
    <row r="122" spans="1:6" ht="31.5" x14ac:dyDescent="0.25">
      <c r="A122" s="31" t="s">
        <v>138</v>
      </c>
      <c r="B122" s="36"/>
      <c r="C122" s="38"/>
      <c r="D122" s="28"/>
      <c r="E122" s="38"/>
      <c r="F122" s="43" t="s">
        <v>548</v>
      </c>
    </row>
    <row r="123" spans="1:6" x14ac:dyDescent="0.25">
      <c r="A123" s="31" t="s">
        <v>139</v>
      </c>
      <c r="B123" s="36"/>
      <c r="C123" s="38"/>
      <c r="D123" s="28"/>
      <c r="E123" s="38"/>
      <c r="F123" s="43" t="s">
        <v>548</v>
      </c>
    </row>
    <row r="124" spans="1:6" x14ac:dyDescent="0.25">
      <c r="A124" s="31" t="s">
        <v>140</v>
      </c>
      <c r="B124" s="36"/>
      <c r="C124" s="38"/>
      <c r="D124" s="28"/>
      <c r="E124" s="38"/>
      <c r="F124" s="29"/>
    </row>
    <row r="125" spans="1:6" ht="31.5" x14ac:dyDescent="0.25">
      <c r="A125" s="31" t="s">
        <v>287</v>
      </c>
      <c r="B125" s="36"/>
      <c r="C125" s="38"/>
      <c r="D125" s="28"/>
      <c r="E125" s="38"/>
      <c r="F125" s="43" t="s">
        <v>546</v>
      </c>
    </row>
    <row r="126" spans="1:6" ht="27" customHeight="1" x14ac:dyDescent="0.25">
      <c r="A126" s="31" t="s">
        <v>141</v>
      </c>
      <c r="B126" s="36"/>
      <c r="C126" s="38"/>
      <c r="D126" s="28"/>
      <c r="E126" s="38"/>
      <c r="F126" s="43" t="s">
        <v>546</v>
      </c>
    </row>
    <row r="127" spans="1:6" ht="51" customHeight="1" x14ac:dyDescent="0.25">
      <c r="A127" s="31" t="s">
        <v>336</v>
      </c>
      <c r="B127" s="36"/>
      <c r="C127" s="38"/>
      <c r="D127" s="28"/>
      <c r="E127" s="38"/>
      <c r="F127" s="44" t="s">
        <v>421</v>
      </c>
    </row>
    <row r="128" spans="1:6" ht="31.5" x14ac:dyDescent="0.25">
      <c r="A128" s="31" t="s">
        <v>142</v>
      </c>
      <c r="B128" s="36"/>
      <c r="C128" s="38"/>
      <c r="D128" s="28"/>
      <c r="E128" s="38"/>
      <c r="F128" s="43" t="s">
        <v>422</v>
      </c>
    </row>
    <row r="129" spans="1:6" x14ac:dyDescent="0.25">
      <c r="A129" s="31" t="s">
        <v>311</v>
      </c>
      <c r="B129" s="36"/>
      <c r="C129" s="38"/>
      <c r="D129" s="28"/>
      <c r="E129" s="38"/>
      <c r="F129" s="32"/>
    </row>
    <row r="130" spans="1:6" x14ac:dyDescent="0.25">
      <c r="A130" s="31" t="s">
        <v>223</v>
      </c>
      <c r="B130" s="36"/>
      <c r="C130" s="38"/>
      <c r="D130" s="28"/>
      <c r="E130" s="38"/>
      <c r="F130" s="32"/>
    </row>
    <row r="131" spans="1:6" x14ac:dyDescent="0.25">
      <c r="A131" s="31" t="s">
        <v>224</v>
      </c>
      <c r="B131" s="36"/>
      <c r="C131" s="38"/>
      <c r="D131" s="28"/>
      <c r="E131" s="38"/>
      <c r="F131" s="32"/>
    </row>
    <row r="132" spans="1:6" x14ac:dyDescent="0.25">
      <c r="A132" s="31" t="s">
        <v>409</v>
      </c>
      <c r="B132" s="36"/>
      <c r="C132" s="38"/>
      <c r="D132" s="28"/>
      <c r="E132" s="38"/>
      <c r="F132" s="43" t="s">
        <v>423</v>
      </c>
    </row>
    <row r="133" spans="1:6" x14ac:dyDescent="0.25">
      <c r="A133" s="31" t="s">
        <v>261</v>
      </c>
      <c r="B133" s="36"/>
      <c r="C133" s="38"/>
      <c r="D133" s="28"/>
      <c r="E133" s="38"/>
      <c r="F133" s="43" t="s">
        <v>547</v>
      </c>
    </row>
    <row r="134" spans="1:6" ht="15.75" customHeight="1" x14ac:dyDescent="0.25">
      <c r="A134" s="31" t="s">
        <v>66</v>
      </c>
      <c r="B134" s="36"/>
      <c r="C134" s="38"/>
      <c r="D134" s="28"/>
      <c r="E134" s="38"/>
      <c r="F134" s="32"/>
    </row>
    <row r="135" spans="1:6" ht="47.25" x14ac:dyDescent="0.25">
      <c r="A135" s="80" t="s">
        <v>276</v>
      </c>
      <c r="B135" s="80" t="s">
        <v>276</v>
      </c>
      <c r="C135" s="80" t="s">
        <v>276</v>
      </c>
      <c r="D135" s="80" t="s">
        <v>276</v>
      </c>
      <c r="E135" s="81" t="s">
        <v>276</v>
      </c>
      <c r="F135" s="43" t="s">
        <v>424</v>
      </c>
    </row>
    <row r="136" spans="1:6" x14ac:dyDescent="0.25">
      <c r="A136" s="34" t="s">
        <v>279</v>
      </c>
      <c r="B136" s="37"/>
      <c r="C136" s="38"/>
      <c r="D136" s="28"/>
      <c r="E136" s="38"/>
      <c r="F136" s="32"/>
    </row>
    <row r="137" spans="1:6" ht="31.5" x14ac:dyDescent="0.25">
      <c r="A137" s="34" t="s">
        <v>306</v>
      </c>
      <c r="B137" s="37"/>
      <c r="C137" s="38"/>
      <c r="D137" s="28"/>
      <c r="E137" s="38"/>
      <c r="F137" s="32"/>
    </row>
    <row r="138" spans="1:6" x14ac:dyDescent="0.25">
      <c r="A138" s="34" t="s">
        <v>280</v>
      </c>
      <c r="B138" s="37"/>
      <c r="C138" s="38"/>
      <c r="D138" s="28"/>
      <c r="E138" s="38"/>
      <c r="F138" s="32"/>
    </row>
    <row r="139" spans="1:6" ht="31.5" x14ac:dyDescent="0.25">
      <c r="A139" s="34" t="s">
        <v>281</v>
      </c>
      <c r="B139" s="37"/>
      <c r="C139" s="38"/>
      <c r="D139" s="28"/>
      <c r="E139" s="38"/>
      <c r="F139" s="32"/>
    </row>
    <row r="140" spans="1:6" x14ac:dyDescent="0.25">
      <c r="A140" s="34" t="s">
        <v>282</v>
      </c>
      <c r="B140" s="37"/>
      <c r="C140" s="38"/>
      <c r="D140" s="28"/>
      <c r="E140" s="38"/>
      <c r="F140" s="32"/>
    </row>
    <row r="141" spans="1:6" ht="37.5" customHeight="1" x14ac:dyDescent="0.25">
      <c r="A141" s="34" t="s">
        <v>283</v>
      </c>
      <c r="B141" s="37"/>
      <c r="C141" s="38"/>
      <c r="D141" s="28"/>
      <c r="E141" s="38"/>
      <c r="F141" s="32"/>
    </row>
    <row r="142" spans="1:6" x14ac:dyDescent="0.25">
      <c r="A142" s="34" t="s">
        <v>284</v>
      </c>
      <c r="B142" s="37"/>
      <c r="C142" s="38"/>
      <c r="D142" s="28"/>
      <c r="E142" s="38"/>
      <c r="F142" s="32"/>
    </row>
    <row r="143" spans="1:6" ht="31.5" x14ac:dyDescent="0.25">
      <c r="A143" s="34" t="s">
        <v>285</v>
      </c>
      <c r="B143" s="37"/>
      <c r="C143" s="38"/>
      <c r="D143" s="28"/>
      <c r="E143" s="38"/>
      <c r="F143" s="32"/>
    </row>
    <row r="144" spans="1:6" ht="31.5" x14ac:dyDescent="0.25">
      <c r="A144" s="34" t="s">
        <v>286</v>
      </c>
      <c r="B144" s="37"/>
      <c r="C144" s="38"/>
      <c r="D144" s="28"/>
      <c r="E144" s="38"/>
      <c r="F144" s="32"/>
    </row>
    <row r="145" spans="1:6" ht="18.75" x14ac:dyDescent="0.25">
      <c r="A145" s="80" t="s">
        <v>92</v>
      </c>
      <c r="B145" s="80" t="s">
        <v>92</v>
      </c>
      <c r="C145" s="80" t="s">
        <v>92</v>
      </c>
      <c r="D145" s="81" t="s">
        <v>92</v>
      </c>
      <c r="E145" s="81" t="s">
        <v>92</v>
      </c>
      <c r="F145" s="32"/>
    </row>
    <row r="146" spans="1:6" x14ac:dyDescent="0.25">
      <c r="A146" s="31" t="s">
        <v>93</v>
      </c>
      <c r="B146" s="36"/>
      <c r="C146" s="38"/>
      <c r="D146" s="28"/>
      <c r="E146" s="38"/>
      <c r="F146" s="43" t="s">
        <v>548</v>
      </c>
    </row>
    <row r="147" spans="1:6" x14ac:dyDescent="0.25">
      <c r="A147" s="31" t="s">
        <v>94</v>
      </c>
      <c r="B147" s="36"/>
      <c r="C147" s="38"/>
      <c r="D147" s="28"/>
      <c r="E147" s="38"/>
      <c r="F147" s="32"/>
    </row>
    <row r="148" spans="1:6" x14ac:dyDescent="0.25">
      <c r="A148" s="31" t="s">
        <v>245</v>
      </c>
      <c r="B148" s="36"/>
      <c r="C148" s="38"/>
      <c r="D148" s="28"/>
      <c r="E148" s="38"/>
      <c r="F148" s="32"/>
    </row>
    <row r="149" spans="1:6" x14ac:dyDescent="0.25">
      <c r="A149" s="31" t="s">
        <v>246</v>
      </c>
      <c r="B149" s="36"/>
      <c r="C149" s="38"/>
      <c r="D149" s="28"/>
      <c r="E149" s="38"/>
      <c r="F149" s="43" t="s">
        <v>548</v>
      </c>
    </row>
    <row r="150" spans="1:6" x14ac:dyDescent="0.25">
      <c r="A150" s="31" t="s">
        <v>95</v>
      </c>
      <c r="B150" s="36"/>
      <c r="C150" s="38"/>
      <c r="D150" s="28"/>
      <c r="E150" s="38"/>
      <c r="F150" s="43" t="s">
        <v>548</v>
      </c>
    </row>
    <row r="151" spans="1:6" ht="31.5" x14ac:dyDescent="0.25">
      <c r="A151" s="31" t="s">
        <v>96</v>
      </c>
      <c r="B151" s="36"/>
      <c r="C151" s="38"/>
      <c r="D151" s="28"/>
      <c r="E151" s="38"/>
      <c r="F151" s="43" t="s">
        <v>548</v>
      </c>
    </row>
    <row r="152" spans="1:6" ht="31.5" x14ac:dyDescent="0.25">
      <c r="A152" s="31" t="s">
        <v>187</v>
      </c>
      <c r="B152" s="36"/>
      <c r="C152" s="38"/>
      <c r="D152" s="28"/>
      <c r="E152" s="38"/>
      <c r="F152" s="43" t="s">
        <v>548</v>
      </c>
    </row>
    <row r="153" spans="1:6" ht="68.25" customHeight="1" x14ac:dyDescent="0.25">
      <c r="A153" s="31" t="s">
        <v>97</v>
      </c>
      <c r="B153" s="36"/>
      <c r="C153" s="38"/>
      <c r="D153" s="28"/>
      <c r="E153" s="38"/>
      <c r="F153" s="43" t="s">
        <v>548</v>
      </c>
    </row>
    <row r="154" spans="1:6" ht="36.75" customHeight="1" x14ac:dyDescent="0.25">
      <c r="A154" s="31" t="s">
        <v>98</v>
      </c>
      <c r="B154" s="36"/>
      <c r="C154" s="38"/>
      <c r="D154" s="28"/>
      <c r="E154" s="38"/>
      <c r="F154" s="67"/>
    </row>
    <row r="155" spans="1:6" ht="31.5" x14ac:dyDescent="0.25">
      <c r="A155" s="80" t="s">
        <v>0</v>
      </c>
      <c r="B155" s="80" t="s">
        <v>0</v>
      </c>
      <c r="C155" s="80" t="s">
        <v>0</v>
      </c>
      <c r="D155" s="81" t="s">
        <v>0</v>
      </c>
      <c r="E155" s="81" t="s">
        <v>0</v>
      </c>
      <c r="F155" s="43" t="s">
        <v>425</v>
      </c>
    </row>
    <row r="156" spans="1:6" ht="36.75" customHeight="1" x14ac:dyDescent="0.25">
      <c r="A156" s="31" t="s">
        <v>99</v>
      </c>
      <c r="B156" s="36"/>
      <c r="C156" s="38"/>
      <c r="D156" s="28"/>
      <c r="E156" s="38"/>
      <c r="F156" s="43" t="s">
        <v>548</v>
      </c>
    </row>
    <row r="157" spans="1:6" x14ac:dyDescent="0.25">
      <c r="A157" s="31" t="s">
        <v>100</v>
      </c>
      <c r="B157" s="36"/>
      <c r="C157" s="38"/>
      <c r="D157" s="28"/>
      <c r="E157" s="38"/>
      <c r="F157" s="43" t="s">
        <v>548</v>
      </c>
    </row>
    <row r="158" spans="1:6" x14ac:dyDescent="0.25">
      <c r="A158" s="31" t="s">
        <v>288</v>
      </c>
      <c r="B158" s="36"/>
      <c r="C158" s="38"/>
      <c r="D158" s="28"/>
      <c r="E158" s="38"/>
      <c r="F158" s="43" t="s">
        <v>548</v>
      </c>
    </row>
    <row r="159" spans="1:6" ht="31.5" x14ac:dyDescent="0.25">
      <c r="A159" s="31" t="s">
        <v>289</v>
      </c>
      <c r="B159" s="36"/>
      <c r="C159" s="38"/>
      <c r="D159" s="28"/>
      <c r="E159" s="38"/>
      <c r="F159" s="43" t="s">
        <v>549</v>
      </c>
    </row>
    <row r="160" spans="1:6" ht="31.5" x14ac:dyDescent="0.25">
      <c r="A160" s="31" t="s">
        <v>248</v>
      </c>
      <c r="B160" s="36"/>
      <c r="C160" s="38"/>
      <c r="D160" s="28"/>
      <c r="E160" s="38"/>
      <c r="F160" s="32"/>
    </row>
    <row r="161" spans="1:6" x14ac:dyDescent="0.25">
      <c r="A161" s="31" t="s">
        <v>1</v>
      </c>
      <c r="B161" s="36"/>
      <c r="C161" s="38"/>
      <c r="D161" s="28"/>
      <c r="E161" s="38"/>
      <c r="F161" s="43" t="s">
        <v>548</v>
      </c>
    </row>
    <row r="162" spans="1:6" x14ac:dyDescent="0.25">
      <c r="A162" s="31" t="s">
        <v>405</v>
      </c>
      <c r="B162" s="36"/>
      <c r="C162" s="38"/>
      <c r="D162" s="28"/>
      <c r="E162" s="38"/>
      <c r="F162" s="43" t="s">
        <v>426</v>
      </c>
    </row>
    <row r="163" spans="1:6" x14ac:dyDescent="0.25">
      <c r="A163" s="31" t="s">
        <v>101</v>
      </c>
      <c r="B163" s="36"/>
      <c r="C163" s="38"/>
      <c r="D163" s="28"/>
      <c r="E163" s="38"/>
      <c r="F163" s="43" t="s">
        <v>548</v>
      </c>
    </row>
    <row r="164" spans="1:6" ht="18.75" x14ac:dyDescent="0.25">
      <c r="A164" s="80" t="s">
        <v>102</v>
      </c>
      <c r="B164" s="80" t="s">
        <v>102</v>
      </c>
      <c r="C164" s="80" t="s">
        <v>102</v>
      </c>
      <c r="D164" s="81" t="s">
        <v>102</v>
      </c>
      <c r="E164" s="81" t="s">
        <v>102</v>
      </c>
      <c r="F164" s="32"/>
    </row>
    <row r="165" spans="1:6" ht="31.5" x14ac:dyDescent="0.25">
      <c r="A165" s="31" t="s">
        <v>191</v>
      </c>
      <c r="B165" s="36"/>
      <c r="C165" s="38"/>
      <c r="D165" s="28"/>
      <c r="E165" s="38"/>
      <c r="F165" s="43" t="s">
        <v>548</v>
      </c>
    </row>
    <row r="166" spans="1:6" x14ac:dyDescent="0.25">
      <c r="A166" s="31" t="s">
        <v>192</v>
      </c>
      <c r="B166" s="36"/>
      <c r="C166" s="38"/>
      <c r="D166" s="28"/>
      <c r="E166" s="38"/>
      <c r="F166" s="32"/>
    </row>
    <row r="167" spans="1:6" x14ac:dyDescent="0.25">
      <c r="A167" s="31" t="s">
        <v>103</v>
      </c>
      <c r="B167" s="36"/>
      <c r="C167" s="38"/>
      <c r="D167" s="28"/>
      <c r="E167" s="38"/>
      <c r="F167" s="43" t="s">
        <v>548</v>
      </c>
    </row>
    <row r="168" spans="1:6" x14ac:dyDescent="0.25">
      <c r="A168" s="31" t="s">
        <v>104</v>
      </c>
      <c r="B168" s="36"/>
      <c r="C168" s="38"/>
      <c r="D168" s="28"/>
      <c r="E168" s="38"/>
      <c r="F168" s="32"/>
    </row>
    <row r="169" spans="1:6" x14ac:dyDescent="0.25">
      <c r="A169" s="31" t="s">
        <v>225</v>
      </c>
      <c r="B169" s="36"/>
      <c r="C169" s="38"/>
      <c r="D169" s="28"/>
      <c r="E169" s="38"/>
      <c r="F169" s="32"/>
    </row>
    <row r="170" spans="1:6" x14ac:dyDescent="0.25">
      <c r="A170" s="31" t="s">
        <v>105</v>
      </c>
      <c r="B170" s="36"/>
      <c r="C170" s="38"/>
      <c r="D170" s="28"/>
      <c r="E170" s="38"/>
      <c r="F170" s="32"/>
    </row>
    <row r="171" spans="1:6" ht="72.75" customHeight="1" x14ac:dyDescent="0.25">
      <c r="A171" s="31" t="s">
        <v>427</v>
      </c>
      <c r="B171" s="36"/>
      <c r="C171" s="38"/>
      <c r="D171" s="28"/>
      <c r="E171" s="38"/>
      <c r="F171" s="43" t="s">
        <v>550</v>
      </c>
    </row>
    <row r="172" spans="1:6" ht="72" customHeight="1" x14ac:dyDescent="0.25">
      <c r="A172" s="31" t="s">
        <v>417</v>
      </c>
      <c r="B172" s="36"/>
      <c r="C172" s="38"/>
      <c r="D172" s="28"/>
      <c r="E172" s="38"/>
      <c r="F172" s="43" t="s">
        <v>550</v>
      </c>
    </row>
    <row r="173" spans="1:6" ht="75.75" customHeight="1" x14ac:dyDescent="0.25">
      <c r="A173" s="31" t="s">
        <v>309</v>
      </c>
      <c r="B173" s="36"/>
      <c r="C173" s="38"/>
      <c r="D173" s="28"/>
      <c r="E173" s="38"/>
      <c r="F173" s="44" t="s">
        <v>550</v>
      </c>
    </row>
    <row r="174" spans="1:6" x14ac:dyDescent="0.25">
      <c r="A174" s="31" t="s">
        <v>106</v>
      </c>
      <c r="B174" s="36"/>
      <c r="C174" s="38"/>
      <c r="D174" s="28"/>
      <c r="E174" s="38"/>
      <c r="F174" s="32"/>
    </row>
    <row r="175" spans="1:6" x14ac:dyDescent="0.25">
      <c r="A175" s="31" t="s">
        <v>174</v>
      </c>
      <c r="B175" s="36"/>
      <c r="C175" s="38"/>
      <c r="D175" s="28"/>
      <c r="E175" s="38"/>
      <c r="F175" s="32"/>
    </row>
    <row r="176" spans="1:6" x14ac:dyDescent="0.25">
      <c r="A176" s="31" t="s">
        <v>175</v>
      </c>
      <c r="B176" s="36"/>
      <c r="C176" s="38"/>
      <c r="D176" s="28"/>
      <c r="E176" s="38"/>
      <c r="F176" s="32"/>
    </row>
    <row r="177" spans="1:6" x14ac:dyDescent="0.25">
      <c r="A177" s="31" t="s">
        <v>107</v>
      </c>
      <c r="B177" s="36"/>
      <c r="C177" s="38"/>
      <c r="D177" s="28"/>
      <c r="E177" s="38"/>
      <c r="F177" s="32"/>
    </row>
    <row r="178" spans="1:6" x14ac:dyDescent="0.25">
      <c r="A178" s="31" t="s">
        <v>226</v>
      </c>
      <c r="B178" s="36"/>
      <c r="C178" s="38"/>
      <c r="D178" s="28"/>
      <c r="E178" s="38"/>
      <c r="F178" s="32"/>
    </row>
    <row r="179" spans="1:6" x14ac:dyDescent="0.25">
      <c r="A179" s="31" t="s">
        <v>218</v>
      </c>
      <c r="B179" s="36"/>
      <c r="C179" s="38"/>
      <c r="D179" s="28"/>
      <c r="E179" s="38"/>
      <c r="F179" s="67"/>
    </row>
    <row r="180" spans="1:6" ht="60" customHeight="1" x14ac:dyDescent="0.25">
      <c r="A180" s="80" t="s">
        <v>157</v>
      </c>
      <c r="B180" s="80" t="s">
        <v>157</v>
      </c>
      <c r="C180" s="80" t="s">
        <v>157</v>
      </c>
      <c r="D180" s="81" t="s">
        <v>157</v>
      </c>
      <c r="E180" s="81" t="s">
        <v>157</v>
      </c>
      <c r="F180" s="44" t="s">
        <v>476</v>
      </c>
    </row>
    <row r="181" spans="1:6" ht="31.5" x14ac:dyDescent="0.25">
      <c r="A181" s="31" t="s">
        <v>108</v>
      </c>
      <c r="B181" s="36"/>
      <c r="C181" s="38"/>
      <c r="D181" s="28"/>
      <c r="E181" s="38"/>
      <c r="F181" s="32"/>
    </row>
    <row r="182" spans="1:6" x14ac:dyDescent="0.25">
      <c r="A182" s="31" t="s">
        <v>178</v>
      </c>
      <c r="B182" s="36"/>
      <c r="C182" s="38"/>
      <c r="D182" s="28"/>
      <c r="E182" s="38"/>
      <c r="F182" s="32"/>
    </row>
    <row r="183" spans="1:6" x14ac:dyDescent="0.25">
      <c r="A183" s="30" t="s">
        <v>183</v>
      </c>
      <c r="B183" s="35"/>
      <c r="C183" s="38"/>
      <c r="D183" s="28"/>
      <c r="E183" s="38"/>
      <c r="F183" s="32"/>
    </row>
    <row r="184" spans="1:6" x14ac:dyDescent="0.25">
      <c r="A184" s="30" t="s">
        <v>184</v>
      </c>
      <c r="B184" s="35"/>
      <c r="C184" s="38"/>
      <c r="D184" s="28"/>
      <c r="E184" s="38"/>
      <c r="F184" s="32"/>
    </row>
    <row r="185" spans="1:6" ht="31.5" x14ac:dyDescent="0.25">
      <c r="A185" s="30" t="s">
        <v>185</v>
      </c>
      <c r="B185" s="35"/>
      <c r="C185" s="38"/>
      <c r="D185" s="28"/>
      <c r="E185" s="38"/>
      <c r="F185" s="32"/>
    </row>
    <row r="186" spans="1:6" x14ac:dyDescent="0.25">
      <c r="A186" s="30" t="s">
        <v>227</v>
      </c>
      <c r="B186" s="35"/>
      <c r="C186" s="38"/>
      <c r="D186" s="28"/>
      <c r="E186" s="38"/>
      <c r="F186" s="32"/>
    </row>
    <row r="187" spans="1:6" x14ac:dyDescent="0.25">
      <c r="A187" s="31" t="s">
        <v>109</v>
      </c>
      <c r="B187" s="36"/>
      <c r="C187" s="38"/>
      <c r="D187" s="28"/>
      <c r="E187" s="38"/>
      <c r="F187" s="32"/>
    </row>
    <row r="188" spans="1:6" x14ac:dyDescent="0.25">
      <c r="A188" s="31" t="s">
        <v>219</v>
      </c>
      <c r="B188" s="36"/>
      <c r="C188" s="38"/>
      <c r="D188" s="28"/>
      <c r="E188" s="38"/>
      <c r="F188" s="32"/>
    </row>
    <row r="189" spans="1:6" x14ac:dyDescent="0.25">
      <c r="A189" s="30" t="s">
        <v>110</v>
      </c>
      <c r="B189" s="35"/>
      <c r="C189" s="38"/>
      <c r="D189" s="28"/>
      <c r="E189" s="38"/>
      <c r="F189" s="32"/>
    </row>
    <row r="190" spans="1:6" x14ac:dyDescent="0.25">
      <c r="A190" s="30" t="s">
        <v>111</v>
      </c>
      <c r="B190" s="35"/>
      <c r="C190" s="38"/>
      <c r="D190" s="28"/>
      <c r="E190" s="38"/>
      <c r="F190" s="32"/>
    </row>
    <row r="191" spans="1:6" x14ac:dyDescent="0.25">
      <c r="A191" s="30" t="s">
        <v>112</v>
      </c>
      <c r="B191" s="35"/>
      <c r="C191" s="38"/>
      <c r="D191" s="28"/>
      <c r="E191" s="38"/>
      <c r="F191" s="32"/>
    </row>
    <row r="192" spans="1:6" x14ac:dyDescent="0.25">
      <c r="A192" s="30" t="s">
        <v>113</v>
      </c>
      <c r="B192" s="35"/>
      <c r="C192" s="38"/>
      <c r="D192" s="28"/>
      <c r="E192" s="38"/>
      <c r="F192" s="32"/>
    </row>
    <row r="193" spans="1:6" x14ac:dyDescent="0.25">
      <c r="A193" s="30" t="s">
        <v>189</v>
      </c>
      <c r="B193" s="35"/>
      <c r="C193" s="38"/>
      <c r="D193" s="28"/>
      <c r="E193" s="38"/>
      <c r="F193" s="32"/>
    </row>
    <row r="194" spans="1:6" ht="31.5" x14ac:dyDescent="0.25">
      <c r="A194" s="30" t="s">
        <v>228</v>
      </c>
      <c r="B194" s="35"/>
      <c r="C194" s="38"/>
      <c r="D194" s="28"/>
      <c r="E194" s="38"/>
      <c r="F194" s="32"/>
    </row>
    <row r="195" spans="1:6" x14ac:dyDescent="0.25">
      <c r="A195" s="30" t="s">
        <v>155</v>
      </c>
      <c r="B195" s="35"/>
      <c r="C195" s="38"/>
      <c r="D195" s="28"/>
      <c r="E195" s="38"/>
      <c r="F195" s="32"/>
    </row>
    <row r="196" spans="1:6" x14ac:dyDescent="0.25">
      <c r="A196" s="30" t="s">
        <v>188</v>
      </c>
      <c r="B196" s="35"/>
      <c r="C196" s="38"/>
      <c r="D196" s="28"/>
      <c r="E196" s="38"/>
      <c r="F196" s="32"/>
    </row>
    <row r="197" spans="1:6" ht="33.75" customHeight="1" x14ac:dyDescent="0.25">
      <c r="A197" s="30" t="s">
        <v>264</v>
      </c>
      <c r="B197" s="35"/>
      <c r="C197" s="38"/>
      <c r="D197" s="28"/>
      <c r="E197" s="38"/>
      <c r="F197" s="43" t="s">
        <v>428</v>
      </c>
    </row>
    <row r="198" spans="1:6" ht="49.5" customHeight="1" x14ac:dyDescent="0.25">
      <c r="A198" s="80" t="s">
        <v>59</v>
      </c>
      <c r="B198" s="80" t="s">
        <v>59</v>
      </c>
      <c r="C198" s="80" t="s">
        <v>59</v>
      </c>
      <c r="D198" s="81" t="s">
        <v>59</v>
      </c>
      <c r="E198" s="81" t="s">
        <v>59</v>
      </c>
      <c r="F198" s="45" t="s">
        <v>429</v>
      </c>
    </row>
    <row r="199" spans="1:6" x14ac:dyDescent="0.25">
      <c r="A199" s="31" t="s">
        <v>165</v>
      </c>
      <c r="B199" s="36"/>
      <c r="C199" s="38"/>
      <c r="D199" s="28"/>
      <c r="E199" s="38"/>
      <c r="F199" s="32"/>
    </row>
    <row r="200" spans="1:6" x14ac:dyDescent="0.25">
      <c r="A200" s="31" t="s">
        <v>167</v>
      </c>
      <c r="B200" s="36"/>
      <c r="C200" s="38"/>
      <c r="D200" s="28"/>
      <c r="E200" s="38"/>
      <c r="F200" s="32"/>
    </row>
    <row r="201" spans="1:6" ht="31.5" x14ac:dyDescent="0.25">
      <c r="A201" s="31" t="s">
        <v>60</v>
      </c>
      <c r="B201" s="36"/>
      <c r="C201" s="38"/>
      <c r="D201" s="28"/>
      <c r="E201" s="38"/>
      <c r="F201" s="32"/>
    </row>
    <row r="202" spans="1:6" ht="33" customHeight="1" x14ac:dyDescent="0.25">
      <c r="A202" s="31" t="s">
        <v>61</v>
      </c>
      <c r="B202" s="36"/>
      <c r="C202" s="38"/>
      <c r="D202" s="28"/>
      <c r="E202" s="38"/>
      <c r="F202" s="32"/>
    </row>
    <row r="203" spans="1:6" ht="33" customHeight="1" x14ac:dyDescent="0.25">
      <c r="A203" s="31" t="s">
        <v>577</v>
      </c>
      <c r="B203" s="36"/>
      <c r="C203" s="38"/>
      <c r="D203" s="28"/>
      <c r="E203" s="38"/>
      <c r="F203" s="32"/>
    </row>
    <row r="204" spans="1:6" ht="61.5" customHeight="1" x14ac:dyDescent="0.25">
      <c r="A204" s="31" t="s">
        <v>158</v>
      </c>
      <c r="B204" s="36"/>
      <c r="C204" s="38"/>
      <c r="D204" s="28"/>
      <c r="E204" s="38"/>
      <c r="F204" s="32"/>
    </row>
    <row r="205" spans="1:6" ht="31.5" x14ac:dyDescent="0.25">
      <c r="A205" s="31" t="s">
        <v>152</v>
      </c>
      <c r="B205" s="36"/>
      <c r="C205" s="38"/>
      <c r="D205" s="28"/>
      <c r="E205" s="38"/>
      <c r="F205" s="32"/>
    </row>
    <row r="206" spans="1:6" ht="47.25" x14ac:dyDescent="0.25">
      <c r="A206" s="31" t="s">
        <v>168</v>
      </c>
      <c r="B206" s="36"/>
      <c r="C206" s="38"/>
      <c r="D206" s="28"/>
      <c r="E206" s="38"/>
      <c r="F206" s="32"/>
    </row>
    <row r="207" spans="1:6" x14ac:dyDescent="0.25">
      <c r="A207" s="31" t="s">
        <v>156</v>
      </c>
      <c r="B207" s="36"/>
      <c r="C207" s="38"/>
      <c r="D207" s="28"/>
      <c r="E207" s="38"/>
      <c r="F207" s="32"/>
    </row>
    <row r="208" spans="1:6" ht="31.5" x14ac:dyDescent="0.25">
      <c r="A208" s="31" t="s">
        <v>172</v>
      </c>
      <c r="B208" s="36"/>
      <c r="C208" s="38"/>
      <c r="D208" s="28"/>
      <c r="E208" s="38"/>
      <c r="F208" s="32"/>
    </row>
    <row r="209" spans="1:6" ht="31.5" x14ac:dyDescent="0.25">
      <c r="A209" s="31" t="s">
        <v>173</v>
      </c>
      <c r="B209" s="36"/>
      <c r="C209" s="38"/>
      <c r="D209" s="28"/>
      <c r="E209" s="38"/>
      <c r="F209" s="32"/>
    </row>
    <row r="210" spans="1:6" ht="31.5" x14ac:dyDescent="0.25">
      <c r="A210" s="31" t="s">
        <v>143</v>
      </c>
      <c r="B210" s="36"/>
      <c r="C210" s="38"/>
      <c r="D210" s="28"/>
      <c r="E210" s="38"/>
      <c r="F210" s="32"/>
    </row>
    <row r="211" spans="1:6" ht="31.5" x14ac:dyDescent="0.25">
      <c r="A211" s="31" t="s">
        <v>229</v>
      </c>
      <c r="B211" s="36"/>
      <c r="C211" s="38"/>
      <c r="D211" s="28"/>
      <c r="E211" s="38"/>
      <c r="F211" s="32"/>
    </row>
    <row r="212" spans="1:6" x14ac:dyDescent="0.25">
      <c r="A212" s="31" t="s">
        <v>170</v>
      </c>
      <c r="B212" s="36"/>
      <c r="C212" s="38"/>
      <c r="D212" s="28"/>
      <c r="E212" s="38"/>
      <c r="F212" s="32"/>
    </row>
    <row r="213" spans="1:6" x14ac:dyDescent="0.25">
      <c r="A213" s="31" t="s">
        <v>171</v>
      </c>
      <c r="B213" s="36"/>
      <c r="C213" s="38"/>
      <c r="D213" s="28"/>
      <c r="E213" s="38"/>
      <c r="F213" s="32"/>
    </row>
    <row r="214" spans="1:6" ht="39" customHeight="1" x14ac:dyDescent="0.25">
      <c r="A214" s="31" t="s">
        <v>295</v>
      </c>
      <c r="B214" s="36"/>
      <c r="C214" s="38"/>
      <c r="D214" s="28"/>
      <c r="E214" s="38"/>
      <c r="F214" s="32"/>
    </row>
    <row r="215" spans="1:6" ht="70.5" customHeight="1" x14ac:dyDescent="0.25">
      <c r="A215" s="31" t="s">
        <v>217</v>
      </c>
      <c r="B215" s="36"/>
      <c r="C215" s="38"/>
      <c r="D215" s="28"/>
      <c r="E215" s="38"/>
      <c r="F215" s="32"/>
    </row>
    <row r="216" spans="1:6" ht="45" customHeight="1" x14ac:dyDescent="0.25">
      <c r="A216" s="31" t="s">
        <v>173</v>
      </c>
      <c r="B216" s="36"/>
      <c r="C216" s="38"/>
      <c r="D216" s="28"/>
      <c r="E216" s="38"/>
      <c r="F216" s="32"/>
    </row>
    <row r="217" spans="1:6" ht="38.25" customHeight="1" x14ac:dyDescent="0.25">
      <c r="A217" s="31" t="s">
        <v>193</v>
      </c>
      <c r="B217" s="36"/>
      <c r="C217" s="38"/>
      <c r="D217" s="28"/>
      <c r="E217" s="38"/>
      <c r="F217" s="32"/>
    </row>
    <row r="218" spans="1:6" x14ac:dyDescent="0.25">
      <c r="A218" s="31" t="s">
        <v>449</v>
      </c>
      <c r="B218" s="36"/>
      <c r="C218" s="38"/>
      <c r="D218" s="28"/>
      <c r="E218" s="38"/>
      <c r="F218" s="32"/>
    </row>
    <row r="219" spans="1:6" x14ac:dyDescent="0.25">
      <c r="A219" s="31" t="s">
        <v>62</v>
      </c>
      <c r="B219" s="36"/>
      <c r="C219" s="38"/>
      <c r="D219" s="28"/>
      <c r="E219" s="38"/>
      <c r="F219" s="32"/>
    </row>
    <row r="220" spans="1:6" ht="18.75" x14ac:dyDescent="0.25">
      <c r="A220" s="80" t="s">
        <v>63</v>
      </c>
      <c r="B220" s="80" t="s">
        <v>63</v>
      </c>
      <c r="C220" s="80" t="s">
        <v>63</v>
      </c>
      <c r="D220" s="81" t="s">
        <v>63</v>
      </c>
      <c r="E220" s="81" t="s">
        <v>63</v>
      </c>
      <c r="F220" s="43" t="s">
        <v>551</v>
      </c>
    </row>
    <row r="221" spans="1:6" ht="30.75" customHeight="1" x14ac:dyDescent="0.25">
      <c r="A221" s="31" t="s">
        <v>151</v>
      </c>
      <c r="B221" s="36"/>
      <c r="C221" s="38"/>
      <c r="D221" s="28"/>
      <c r="E221" s="38"/>
      <c r="F221" s="32"/>
    </row>
    <row r="222" spans="1:6" x14ac:dyDescent="0.25">
      <c r="A222" s="31" t="s">
        <v>153</v>
      </c>
      <c r="B222" s="36"/>
      <c r="C222" s="38"/>
      <c r="D222" s="28"/>
      <c r="E222" s="38"/>
      <c r="F222" s="32"/>
    </row>
    <row r="223" spans="1:6" ht="28.5" customHeight="1" x14ac:dyDescent="0.25">
      <c r="A223" s="31" t="s">
        <v>251</v>
      </c>
      <c r="B223" s="36"/>
      <c r="C223" s="38"/>
      <c r="D223" s="28"/>
      <c r="E223" s="38"/>
      <c r="F223" s="32"/>
    </row>
    <row r="224" spans="1:6" ht="41.25" customHeight="1" x14ac:dyDescent="0.25">
      <c r="A224" s="31" t="s">
        <v>154</v>
      </c>
      <c r="B224" s="36"/>
      <c r="C224" s="38"/>
      <c r="D224" s="28"/>
      <c r="E224" s="38"/>
      <c r="F224" s="32"/>
    </row>
    <row r="225" spans="1:6" x14ac:dyDescent="0.25">
      <c r="A225" s="31" t="s">
        <v>150</v>
      </c>
      <c r="B225" s="36"/>
      <c r="C225" s="38"/>
      <c r="D225" s="28"/>
      <c r="E225" s="38"/>
      <c r="F225" s="32"/>
    </row>
    <row r="226" spans="1:6" ht="14.25" customHeight="1" x14ac:dyDescent="0.25">
      <c r="A226" s="31" t="s">
        <v>180</v>
      </c>
      <c r="B226" s="36"/>
      <c r="C226" s="38"/>
      <c r="D226" s="28"/>
      <c r="E226" s="38"/>
      <c r="F226" s="32"/>
    </row>
    <row r="227" spans="1:6" x14ac:dyDescent="0.25">
      <c r="A227" s="31" t="s">
        <v>179</v>
      </c>
      <c r="B227" s="36"/>
      <c r="C227" s="38"/>
      <c r="D227" s="28"/>
      <c r="E227" s="38"/>
      <c r="F227" s="32"/>
    </row>
    <row r="228" spans="1:6" ht="18.75" x14ac:dyDescent="0.25">
      <c r="A228" s="80" t="s">
        <v>64</v>
      </c>
      <c r="B228" s="80" t="s">
        <v>64</v>
      </c>
      <c r="C228" s="80" t="s">
        <v>64</v>
      </c>
      <c r="D228" s="81" t="s">
        <v>64</v>
      </c>
      <c r="E228" s="81" t="s">
        <v>64</v>
      </c>
      <c r="F228" s="43" t="s">
        <v>552</v>
      </c>
    </row>
    <row r="229" spans="1:6" x14ac:dyDescent="0.25">
      <c r="A229" s="31" t="s">
        <v>144</v>
      </c>
      <c r="B229" s="36"/>
      <c r="C229" s="38"/>
      <c r="D229" s="28"/>
      <c r="E229" s="38"/>
      <c r="F229" s="32"/>
    </row>
    <row r="230" spans="1:6" x14ac:dyDescent="0.25">
      <c r="A230" s="31" t="s">
        <v>182</v>
      </c>
      <c r="B230" s="36"/>
      <c r="C230" s="38"/>
      <c r="D230" s="28"/>
      <c r="E230" s="38"/>
      <c r="F230" s="32"/>
    </row>
    <row r="231" spans="1:6" ht="31.5" x14ac:dyDescent="0.25">
      <c r="A231" s="31" t="s">
        <v>310</v>
      </c>
      <c r="B231" s="36"/>
      <c r="C231" s="38"/>
      <c r="D231" s="28"/>
      <c r="E231" s="38"/>
      <c r="F231" s="32"/>
    </row>
    <row r="232" spans="1:6" x14ac:dyDescent="0.25">
      <c r="A232" s="31" t="s">
        <v>181</v>
      </c>
      <c r="B232" s="36"/>
      <c r="C232" s="38"/>
      <c r="D232" s="28"/>
      <c r="E232" s="38"/>
      <c r="F232" s="32"/>
    </row>
    <row r="233" spans="1:6" ht="31.5" x14ac:dyDescent="0.25">
      <c r="A233" s="31" t="s">
        <v>145</v>
      </c>
      <c r="B233" s="36"/>
      <c r="C233" s="38"/>
      <c r="D233" s="28"/>
      <c r="E233" s="38"/>
      <c r="F233" s="32"/>
    </row>
    <row r="234" spans="1:6" ht="18.75" x14ac:dyDescent="0.25">
      <c r="A234" s="80" t="s">
        <v>65</v>
      </c>
      <c r="B234" s="80" t="s">
        <v>65</v>
      </c>
      <c r="C234" s="80" t="s">
        <v>65</v>
      </c>
      <c r="D234" s="81" t="s">
        <v>65</v>
      </c>
      <c r="E234" s="81" t="s">
        <v>65</v>
      </c>
      <c r="F234" s="32"/>
    </row>
    <row r="235" spans="1:6" ht="31.5" x14ac:dyDescent="0.25">
      <c r="A235" s="31" t="s">
        <v>262</v>
      </c>
      <c r="B235" s="36"/>
      <c r="C235" s="38"/>
      <c r="D235" s="28"/>
      <c r="E235" s="38"/>
      <c r="F235" s="43" t="s">
        <v>553</v>
      </c>
    </row>
    <row r="236" spans="1:6" ht="45.75" customHeight="1" x14ac:dyDescent="0.25">
      <c r="A236" s="31" t="s">
        <v>241</v>
      </c>
      <c r="B236" s="36"/>
      <c r="C236" s="38"/>
      <c r="D236" s="28"/>
      <c r="E236" s="38"/>
      <c r="F236" s="43" t="s">
        <v>471</v>
      </c>
    </row>
    <row r="237" spans="1:6" x14ac:dyDescent="0.25">
      <c r="A237" s="31" t="s">
        <v>194</v>
      </c>
      <c r="B237" s="36"/>
      <c r="C237" s="38"/>
      <c r="D237" s="28"/>
      <c r="E237" s="38"/>
      <c r="F237" s="67"/>
    </row>
    <row r="238" spans="1:6" x14ac:dyDescent="0.25">
      <c r="A238" s="31" t="s">
        <v>554</v>
      </c>
      <c r="B238" s="36"/>
      <c r="C238" s="38"/>
      <c r="D238" s="28"/>
      <c r="E238" s="38"/>
      <c r="F238" s="43" t="s">
        <v>548</v>
      </c>
    </row>
    <row r="239" spans="1:6" x14ac:dyDescent="0.25">
      <c r="A239" s="31" t="s">
        <v>256</v>
      </c>
      <c r="B239" s="36"/>
      <c r="C239" s="38"/>
      <c r="D239" s="28"/>
      <c r="E239" s="38"/>
      <c r="F239" s="32"/>
    </row>
    <row r="240" spans="1:6" x14ac:dyDescent="0.25">
      <c r="A240" s="31" t="s">
        <v>257</v>
      </c>
      <c r="B240" s="36"/>
      <c r="C240" s="38"/>
      <c r="D240" s="28"/>
      <c r="E240" s="38"/>
      <c r="F240" s="32"/>
    </row>
    <row r="241" spans="1:6" x14ac:dyDescent="0.25">
      <c r="A241" s="31" t="s">
        <v>230</v>
      </c>
      <c r="B241" s="36"/>
      <c r="C241" s="38"/>
      <c r="D241" s="28"/>
      <c r="E241" s="38"/>
      <c r="F241" s="43" t="s">
        <v>548</v>
      </c>
    </row>
    <row r="242" spans="1:6" x14ac:dyDescent="0.25">
      <c r="A242" s="31" t="s">
        <v>231</v>
      </c>
      <c r="B242" s="36"/>
      <c r="C242" s="38"/>
      <c r="D242" s="28"/>
      <c r="E242" s="38"/>
      <c r="F242" s="43" t="s">
        <v>548</v>
      </c>
    </row>
    <row r="243" spans="1:6" ht="23.25" customHeight="1" x14ac:dyDescent="0.25">
      <c r="A243" s="31" t="s">
        <v>195</v>
      </c>
      <c r="B243" s="36"/>
      <c r="C243" s="38"/>
      <c r="D243" s="28"/>
      <c r="E243" s="38"/>
      <c r="F243" s="43" t="s">
        <v>548</v>
      </c>
    </row>
    <row r="244" spans="1:6" x14ac:dyDescent="0.25">
      <c r="A244" s="31" t="s">
        <v>196</v>
      </c>
      <c r="B244" s="36"/>
      <c r="C244" s="38"/>
      <c r="D244" s="28"/>
      <c r="E244" s="38"/>
      <c r="F244" s="43" t="s">
        <v>548</v>
      </c>
    </row>
    <row r="245" spans="1:6" ht="18.75" x14ac:dyDescent="0.25">
      <c r="A245" s="80" t="s">
        <v>186</v>
      </c>
      <c r="B245" s="80" t="s">
        <v>186</v>
      </c>
      <c r="C245" s="80" t="s">
        <v>186</v>
      </c>
      <c r="D245" s="81" t="s">
        <v>186</v>
      </c>
      <c r="E245" s="81" t="s">
        <v>186</v>
      </c>
      <c r="F245" s="32"/>
    </row>
    <row r="246" spans="1:6" x14ac:dyDescent="0.25">
      <c r="A246" s="30" t="s">
        <v>232</v>
      </c>
      <c r="B246" s="35"/>
      <c r="C246" s="38"/>
      <c r="D246" s="28"/>
      <c r="E246" s="38"/>
      <c r="F246" s="32"/>
    </row>
    <row r="247" spans="1:6" x14ac:dyDescent="0.25">
      <c r="A247" s="30" t="s">
        <v>233</v>
      </c>
      <c r="B247" s="35"/>
      <c r="C247" s="38"/>
      <c r="D247" s="28"/>
      <c r="E247" s="38"/>
      <c r="F247" s="32"/>
    </row>
    <row r="248" spans="1:6" x14ac:dyDescent="0.25">
      <c r="A248" s="30" t="s">
        <v>234</v>
      </c>
      <c r="B248" s="35"/>
      <c r="C248" s="38"/>
      <c r="D248" s="28"/>
      <c r="E248" s="38"/>
      <c r="F248" s="32"/>
    </row>
    <row r="249" spans="1:6" x14ac:dyDescent="0.25">
      <c r="A249" s="30" t="s">
        <v>240</v>
      </c>
      <c r="B249" s="35"/>
      <c r="C249" s="38"/>
      <c r="D249" s="28"/>
      <c r="E249" s="38"/>
      <c r="F249" s="32"/>
    </row>
    <row r="250" spans="1:6" x14ac:dyDescent="0.25">
      <c r="A250" s="30" t="s">
        <v>410</v>
      </c>
      <c r="B250" s="35"/>
      <c r="C250" s="38"/>
      <c r="D250" s="28"/>
      <c r="E250" s="38"/>
      <c r="F250" s="32"/>
    </row>
    <row r="251" spans="1:6" x14ac:dyDescent="0.25">
      <c r="A251" s="30" t="s">
        <v>411</v>
      </c>
      <c r="B251" s="35"/>
      <c r="C251" s="38"/>
      <c r="D251" s="28"/>
      <c r="E251" s="38"/>
      <c r="F251" s="32"/>
    </row>
    <row r="252" spans="1:6" x14ac:dyDescent="0.25">
      <c r="A252" s="30" t="s">
        <v>235</v>
      </c>
      <c r="B252" s="35"/>
      <c r="C252" s="38"/>
      <c r="D252" s="28"/>
      <c r="E252" s="38"/>
      <c r="F252" s="32"/>
    </row>
    <row r="253" spans="1:6" x14ac:dyDescent="0.25">
      <c r="A253" s="30" t="s">
        <v>236</v>
      </c>
      <c r="B253" s="35"/>
      <c r="C253" s="38"/>
      <c r="D253" s="28"/>
      <c r="E253" s="38"/>
      <c r="F253" s="32"/>
    </row>
    <row r="254" spans="1:6" x14ac:dyDescent="0.25">
      <c r="A254" s="30" t="s">
        <v>260</v>
      </c>
      <c r="B254" s="35"/>
      <c r="C254" s="38"/>
      <c r="D254" s="28"/>
      <c r="E254" s="38"/>
      <c r="F254" s="32"/>
    </row>
    <row r="255" spans="1:6" x14ac:dyDescent="0.25">
      <c r="A255" s="30" t="s">
        <v>237</v>
      </c>
      <c r="B255" s="35"/>
      <c r="C255" s="38"/>
      <c r="D255" s="28"/>
      <c r="E255" s="38"/>
      <c r="F255" s="32"/>
    </row>
    <row r="256" spans="1:6" x14ac:dyDescent="0.25">
      <c r="A256" s="30" t="s">
        <v>263</v>
      </c>
      <c r="B256" s="35"/>
      <c r="C256" s="38"/>
      <c r="D256" s="28"/>
      <c r="E256" s="38"/>
      <c r="F256" s="32"/>
    </row>
    <row r="257" spans="1:6" x14ac:dyDescent="0.25">
      <c r="A257" s="30" t="s">
        <v>508</v>
      </c>
      <c r="B257" s="35"/>
      <c r="C257" s="38"/>
      <c r="D257" s="28"/>
      <c r="E257" s="38"/>
      <c r="F257" s="32"/>
    </row>
    <row r="258" spans="1:6" x14ac:dyDescent="0.25">
      <c r="A258" s="31" t="s">
        <v>238</v>
      </c>
      <c r="B258" s="36"/>
      <c r="C258" s="38"/>
      <c r="D258" s="28"/>
      <c r="E258" s="38"/>
      <c r="F258" s="32"/>
    </row>
    <row r="259" spans="1:6" ht="12" customHeight="1" x14ac:dyDescent="0.25">
      <c r="A259" s="31" t="s">
        <v>239</v>
      </c>
      <c r="B259" s="36"/>
      <c r="C259" s="38"/>
      <c r="D259" s="28"/>
      <c r="E259" s="38"/>
      <c r="F259" s="32"/>
    </row>
    <row r="260" spans="1:6" ht="18.75" x14ac:dyDescent="0.25">
      <c r="A260" s="80" t="s">
        <v>176</v>
      </c>
      <c r="B260" s="80" t="s">
        <v>176</v>
      </c>
      <c r="C260" s="80" t="s">
        <v>176</v>
      </c>
      <c r="D260" s="81" t="s">
        <v>176</v>
      </c>
      <c r="E260" s="81" t="s">
        <v>176</v>
      </c>
      <c r="F260" s="32"/>
    </row>
    <row r="261" spans="1:6" x14ac:dyDescent="0.25">
      <c r="A261" s="31" t="s">
        <v>67</v>
      </c>
      <c r="B261" s="36"/>
      <c r="C261" s="38"/>
      <c r="D261" s="28"/>
      <c r="E261" s="38"/>
      <c r="F261" s="43" t="s">
        <v>555</v>
      </c>
    </row>
    <row r="262" spans="1:6" x14ac:dyDescent="0.25">
      <c r="A262" s="31" t="s">
        <v>68</v>
      </c>
      <c r="B262" s="36"/>
      <c r="C262" s="38"/>
      <c r="D262" s="28"/>
      <c r="E262" s="38"/>
      <c r="F262" s="43" t="s">
        <v>555</v>
      </c>
    </row>
    <row r="263" spans="1:6" x14ac:dyDescent="0.25">
      <c r="A263" s="31" t="s">
        <v>197</v>
      </c>
      <c r="B263" s="36"/>
      <c r="C263" s="38"/>
      <c r="D263" s="28"/>
      <c r="E263" s="38"/>
      <c r="F263" s="32"/>
    </row>
    <row r="264" spans="1:6" x14ac:dyDescent="0.25">
      <c r="A264" s="31" t="s">
        <v>69</v>
      </c>
      <c r="B264" s="36"/>
      <c r="C264" s="38"/>
      <c r="D264" s="28"/>
      <c r="E264" s="38"/>
      <c r="F264" s="43" t="s">
        <v>555</v>
      </c>
    </row>
    <row r="265" spans="1:6" x14ac:dyDescent="0.25">
      <c r="A265" s="31" t="s">
        <v>70</v>
      </c>
      <c r="B265" s="36"/>
      <c r="C265" s="38"/>
      <c r="D265" s="28"/>
      <c r="E265" s="38"/>
    </row>
    <row r="266" spans="1:6" x14ac:dyDescent="0.25">
      <c r="A266" s="31" t="s">
        <v>71</v>
      </c>
      <c r="B266" s="36"/>
      <c r="C266" s="38"/>
      <c r="D266" s="28"/>
      <c r="E266" s="38"/>
      <c r="F266" s="32"/>
    </row>
    <row r="267" spans="1:6" x14ac:dyDescent="0.25">
      <c r="A267" s="31" t="s">
        <v>72</v>
      </c>
      <c r="B267" s="36"/>
      <c r="C267" s="38"/>
      <c r="D267" s="28"/>
      <c r="E267" s="38"/>
      <c r="F267" s="43" t="s">
        <v>555</v>
      </c>
    </row>
    <row r="268" spans="1:6" x14ac:dyDescent="0.25">
      <c r="A268" s="31" t="s">
        <v>73</v>
      </c>
      <c r="B268" s="36"/>
      <c r="C268" s="38"/>
      <c r="D268" s="28"/>
      <c r="E268" s="38"/>
      <c r="F268" s="43" t="s">
        <v>555</v>
      </c>
    </row>
    <row r="269" spans="1:6" ht="31.5" x14ac:dyDescent="0.25">
      <c r="A269" s="31" t="s">
        <v>74</v>
      </c>
      <c r="B269" s="36"/>
      <c r="C269" s="38"/>
      <c r="D269" s="28"/>
      <c r="E269" s="38"/>
      <c r="F269" s="43" t="s">
        <v>555</v>
      </c>
    </row>
    <row r="270" spans="1:6" x14ac:dyDescent="0.25">
      <c r="A270" s="31" t="s">
        <v>75</v>
      </c>
      <c r="B270" s="36"/>
      <c r="C270" s="38"/>
      <c r="D270" s="28"/>
      <c r="E270" s="38"/>
      <c r="F270" s="43" t="s">
        <v>555</v>
      </c>
    </row>
    <row r="271" spans="1:6" ht="31.5" x14ac:dyDescent="0.25">
      <c r="A271" s="31" t="s">
        <v>76</v>
      </c>
      <c r="B271" s="36"/>
      <c r="C271" s="38"/>
      <c r="D271" s="28"/>
      <c r="E271" s="38"/>
      <c r="F271" s="32"/>
    </row>
    <row r="272" spans="1:6" x14ac:dyDescent="0.25">
      <c r="A272" s="31" t="s">
        <v>77</v>
      </c>
      <c r="B272" s="36"/>
      <c r="C272" s="38"/>
      <c r="D272" s="28"/>
      <c r="E272" s="38"/>
      <c r="F272" s="32"/>
    </row>
    <row r="273" spans="1:6" x14ac:dyDescent="0.25">
      <c r="A273" s="31" t="s">
        <v>408</v>
      </c>
      <c r="B273" s="36"/>
      <c r="C273" s="38"/>
      <c r="D273" s="28"/>
      <c r="E273" s="38"/>
      <c r="F273" s="43" t="s">
        <v>555</v>
      </c>
    </row>
    <row r="274" spans="1:6" ht="31.5" x14ac:dyDescent="0.25">
      <c r="A274" s="30" t="s">
        <v>146</v>
      </c>
      <c r="B274" s="35"/>
      <c r="C274" s="38"/>
      <c r="D274" s="28"/>
      <c r="E274" s="38"/>
      <c r="F274" s="32"/>
    </row>
    <row r="275" spans="1:6" ht="63" x14ac:dyDescent="0.25">
      <c r="A275" s="30" t="s">
        <v>169</v>
      </c>
      <c r="B275" s="35"/>
      <c r="C275" s="38"/>
      <c r="D275" s="28"/>
      <c r="E275" s="38"/>
      <c r="F275" s="44" t="s">
        <v>555</v>
      </c>
    </row>
    <row r="276" spans="1:6" ht="47.25" x14ac:dyDescent="0.25">
      <c r="A276" s="80" t="s">
        <v>78</v>
      </c>
      <c r="B276" s="80" t="s">
        <v>78</v>
      </c>
      <c r="C276" s="80" t="s">
        <v>78</v>
      </c>
      <c r="D276" s="81" t="s">
        <v>78</v>
      </c>
      <c r="E276" s="81" t="s">
        <v>78</v>
      </c>
      <c r="F276" s="43" t="s">
        <v>578</v>
      </c>
    </row>
    <row r="277" spans="1:6" ht="19.5" customHeight="1" x14ac:dyDescent="0.25">
      <c r="A277" s="31" t="s">
        <v>79</v>
      </c>
      <c r="B277" s="36"/>
      <c r="C277" s="38"/>
      <c r="D277" s="28"/>
      <c r="E277" s="38"/>
      <c r="F277" s="32"/>
    </row>
    <row r="278" spans="1:6" ht="20.25" customHeight="1" x14ac:dyDescent="0.25">
      <c r="A278" s="30" t="s">
        <v>80</v>
      </c>
      <c r="B278" s="35"/>
      <c r="C278" s="38"/>
      <c r="D278" s="28"/>
      <c r="E278" s="38"/>
      <c r="F278" s="32"/>
    </row>
    <row r="279" spans="1:6" x14ac:dyDescent="0.25">
      <c r="A279" s="30" t="s">
        <v>81</v>
      </c>
      <c r="B279" s="35"/>
      <c r="C279" s="38"/>
      <c r="D279" s="28"/>
      <c r="E279" s="38"/>
      <c r="F279" s="32"/>
    </row>
    <row r="280" spans="1:6" x14ac:dyDescent="0.25">
      <c r="A280" s="30" t="s">
        <v>82</v>
      </c>
      <c r="B280" s="35"/>
      <c r="C280" s="38"/>
      <c r="D280" s="28"/>
      <c r="E280" s="38"/>
      <c r="F280" s="32"/>
    </row>
    <row r="281" spans="1:6" x14ac:dyDescent="0.25">
      <c r="A281" s="30" t="s">
        <v>83</v>
      </c>
      <c r="B281" s="35"/>
      <c r="C281" s="38"/>
      <c r="D281" s="28"/>
      <c r="E281" s="38"/>
      <c r="F281" s="32"/>
    </row>
    <row r="282" spans="1:6" x14ac:dyDescent="0.25">
      <c r="A282" s="30" t="s">
        <v>84</v>
      </c>
      <c r="B282" s="35"/>
      <c r="C282" s="38"/>
      <c r="D282" s="28"/>
      <c r="E282" s="38"/>
      <c r="F282" s="32"/>
    </row>
    <row r="283" spans="1:6" x14ac:dyDescent="0.25">
      <c r="A283" s="30" t="s">
        <v>85</v>
      </c>
      <c r="B283" s="35"/>
      <c r="C283" s="38"/>
      <c r="D283" s="28"/>
      <c r="E283" s="38"/>
      <c r="F283" s="32"/>
    </row>
    <row r="284" spans="1:6" x14ac:dyDescent="0.25">
      <c r="A284" s="30" t="s">
        <v>86</v>
      </c>
      <c r="B284" s="35"/>
      <c r="C284" s="38"/>
      <c r="D284" s="28"/>
      <c r="E284" s="38"/>
      <c r="F284" s="32"/>
    </row>
    <row r="285" spans="1:6" x14ac:dyDescent="0.25">
      <c r="A285" s="30" t="s">
        <v>87</v>
      </c>
      <c r="B285" s="35"/>
      <c r="C285" s="38"/>
      <c r="D285" s="28"/>
      <c r="E285" s="38"/>
      <c r="F285" s="32"/>
    </row>
    <row r="286" spans="1:6" x14ac:dyDescent="0.25">
      <c r="A286" s="31" t="s">
        <v>177</v>
      </c>
      <c r="B286" s="36"/>
      <c r="C286" s="38"/>
      <c r="D286" s="28"/>
      <c r="E286" s="38"/>
      <c r="F286" s="32"/>
    </row>
    <row r="287" spans="1:6" x14ac:dyDescent="0.25">
      <c r="A287" s="30" t="s">
        <v>88</v>
      </c>
      <c r="B287" s="35"/>
      <c r="C287" s="38"/>
      <c r="D287" s="28"/>
      <c r="E287" s="38"/>
      <c r="F287" s="32"/>
    </row>
    <row r="288" spans="1:6" x14ac:dyDescent="0.25">
      <c r="A288" s="30" t="s">
        <v>89</v>
      </c>
      <c r="B288" s="35"/>
      <c r="C288" s="38"/>
      <c r="D288" s="28"/>
      <c r="E288" s="38"/>
      <c r="F288" s="32"/>
    </row>
    <row r="289" spans="1:6" x14ac:dyDescent="0.25">
      <c r="A289" s="30" t="s">
        <v>90</v>
      </c>
      <c r="B289" s="35"/>
      <c r="C289" s="38"/>
      <c r="D289" s="28"/>
      <c r="E289" s="38"/>
      <c r="F289" s="32"/>
    </row>
    <row r="290" spans="1:6" x14ac:dyDescent="0.25">
      <c r="A290" s="30" t="s">
        <v>258</v>
      </c>
      <c r="B290" s="35"/>
      <c r="C290" s="38"/>
      <c r="D290" s="28"/>
      <c r="E290" s="38"/>
      <c r="F290" s="32"/>
    </row>
    <row r="291" spans="1:6" ht="14.25" customHeight="1" x14ac:dyDescent="0.25">
      <c r="A291" s="80" t="s">
        <v>91</v>
      </c>
      <c r="B291" s="80" t="s">
        <v>91</v>
      </c>
      <c r="C291" s="80" t="s">
        <v>91</v>
      </c>
      <c r="D291" s="81" t="s">
        <v>91</v>
      </c>
      <c r="E291" s="81" t="s">
        <v>91</v>
      </c>
      <c r="F291" s="43" t="s">
        <v>430</v>
      </c>
    </row>
    <row r="292" spans="1:6" ht="33" customHeight="1" x14ac:dyDescent="0.25">
      <c r="A292" s="31" t="s">
        <v>30</v>
      </c>
      <c r="B292" s="36"/>
      <c r="C292" s="38"/>
      <c r="D292" s="28"/>
      <c r="E292" s="38"/>
      <c r="F292" s="32"/>
    </row>
    <row r="293" spans="1:6" x14ac:dyDescent="0.25">
      <c r="A293" s="31" t="s">
        <v>31</v>
      </c>
      <c r="B293" s="36"/>
      <c r="C293" s="38"/>
      <c r="D293" s="28"/>
      <c r="E293" s="38"/>
      <c r="F293" s="32"/>
    </row>
    <row r="294" spans="1:6" ht="18.75" x14ac:dyDescent="0.25">
      <c r="A294" s="80" t="s">
        <v>200</v>
      </c>
      <c r="B294" s="80" t="s">
        <v>200</v>
      </c>
      <c r="C294" s="80" t="s">
        <v>200</v>
      </c>
      <c r="D294" s="81" t="s">
        <v>200</v>
      </c>
      <c r="E294" s="81" t="s">
        <v>200</v>
      </c>
      <c r="F294" s="32"/>
    </row>
    <row r="295" spans="1:6" x14ac:dyDescent="0.25">
      <c r="A295" s="31" t="s">
        <v>203</v>
      </c>
      <c r="B295" s="36"/>
      <c r="C295" s="38"/>
      <c r="D295" s="28"/>
      <c r="E295" s="38"/>
      <c r="F295" s="43" t="s">
        <v>548</v>
      </c>
    </row>
    <row r="296" spans="1:6" x14ac:dyDescent="0.25">
      <c r="A296" s="31" t="s">
        <v>201</v>
      </c>
      <c r="B296" s="36"/>
      <c r="C296" s="38"/>
      <c r="D296" s="28"/>
      <c r="E296" s="38"/>
      <c r="F296" s="43" t="s">
        <v>548</v>
      </c>
    </row>
    <row r="297" spans="1:6" ht="33" customHeight="1" x14ac:dyDescent="0.25">
      <c r="A297" s="31" t="s">
        <v>247</v>
      </c>
      <c r="B297" s="36"/>
      <c r="C297" s="38"/>
      <c r="D297" s="28"/>
      <c r="E297" s="38"/>
      <c r="F297" s="43" t="s">
        <v>548</v>
      </c>
    </row>
    <row r="298" spans="1:6" ht="33" customHeight="1" x14ac:dyDescent="0.25">
      <c r="A298" s="31" t="s">
        <v>509</v>
      </c>
      <c r="B298" s="36"/>
      <c r="C298" s="38"/>
      <c r="D298" s="28"/>
      <c r="E298" s="38"/>
      <c r="F298" s="82" t="s">
        <v>556</v>
      </c>
    </row>
    <row r="299" spans="1:6" x14ac:dyDescent="0.25">
      <c r="A299" s="31" t="s">
        <v>202</v>
      </c>
      <c r="B299" s="36"/>
      <c r="C299" s="38"/>
      <c r="D299" s="28"/>
      <c r="E299" s="38"/>
      <c r="F299" s="32"/>
    </row>
    <row r="300" spans="1:6" x14ac:dyDescent="0.25">
      <c r="A300" s="31" t="s">
        <v>204</v>
      </c>
      <c r="B300" s="36"/>
      <c r="C300" s="38"/>
      <c r="D300" s="28"/>
      <c r="E300" s="38"/>
      <c r="F300" s="43" t="s">
        <v>548</v>
      </c>
    </row>
    <row r="301" spans="1:6" ht="18.75" x14ac:dyDescent="0.25">
      <c r="A301" s="80" t="s">
        <v>265</v>
      </c>
      <c r="B301" s="80" t="s">
        <v>265</v>
      </c>
      <c r="C301" s="80" t="s">
        <v>265</v>
      </c>
      <c r="D301" s="81" t="s">
        <v>265</v>
      </c>
      <c r="E301" s="81" t="s">
        <v>265</v>
      </c>
      <c r="F301" s="32"/>
    </row>
    <row r="302" spans="1:6" x14ac:dyDescent="0.25">
      <c r="A302" s="31" t="s">
        <v>34</v>
      </c>
      <c r="B302" s="36"/>
      <c r="C302" s="38"/>
      <c r="D302" s="28"/>
      <c r="E302" s="38"/>
      <c r="F302" s="43" t="s">
        <v>548</v>
      </c>
    </row>
    <row r="303" spans="1:6" x14ac:dyDescent="0.25">
      <c r="A303" s="31" t="s">
        <v>149</v>
      </c>
      <c r="B303" s="36"/>
      <c r="C303" s="38"/>
      <c r="D303" s="28"/>
      <c r="E303" s="38"/>
      <c r="F303" s="32"/>
    </row>
    <row r="304" spans="1:6" x14ac:dyDescent="0.25">
      <c r="A304" s="31" t="s">
        <v>478</v>
      </c>
      <c r="B304" s="36"/>
      <c r="C304" s="38"/>
      <c r="D304" s="28"/>
      <c r="E304" s="38"/>
      <c r="F304" s="83" t="s">
        <v>479</v>
      </c>
    </row>
    <row r="305" spans="1:6" ht="25.5" customHeight="1" x14ac:dyDescent="0.25">
      <c r="A305" s="31" t="s">
        <v>268</v>
      </c>
      <c r="B305" s="36"/>
      <c r="C305" s="38"/>
      <c r="D305" s="28"/>
      <c r="E305" s="38"/>
      <c r="F305" s="32"/>
    </row>
    <row r="306" spans="1:6" ht="31.5" x14ac:dyDescent="0.25">
      <c r="A306" s="31" t="s">
        <v>413</v>
      </c>
      <c r="B306" s="36"/>
      <c r="C306" s="38"/>
      <c r="D306" s="28"/>
      <c r="E306" s="38"/>
      <c r="F306" s="43" t="s">
        <v>431</v>
      </c>
    </row>
    <row r="307" spans="1:6" x14ac:dyDescent="0.25">
      <c r="A307" s="31" t="s">
        <v>252</v>
      </c>
      <c r="B307" s="36"/>
      <c r="C307" s="38"/>
      <c r="D307" s="28"/>
      <c r="E307" s="38"/>
      <c r="F307" s="32"/>
    </row>
    <row r="308" spans="1:6" ht="35.25" customHeight="1" x14ac:dyDescent="0.25">
      <c r="A308" s="31" t="s">
        <v>480</v>
      </c>
      <c r="B308" s="36"/>
      <c r="C308" s="38"/>
      <c r="D308" s="28"/>
      <c r="E308" s="38"/>
      <c r="F308" s="43" t="s">
        <v>579</v>
      </c>
    </row>
    <row r="309" spans="1:6" ht="47.25" x14ac:dyDescent="0.25">
      <c r="A309" s="31" t="s">
        <v>580</v>
      </c>
      <c r="B309" s="36"/>
      <c r="C309" s="38"/>
      <c r="D309" s="28"/>
      <c r="E309" s="38"/>
      <c r="F309" s="43" t="s">
        <v>548</v>
      </c>
    </row>
    <row r="310" spans="1:6" x14ac:dyDescent="0.25">
      <c r="A310" s="31" t="s">
        <v>148</v>
      </c>
      <c r="B310" s="36"/>
      <c r="C310" s="38"/>
      <c r="D310" s="28"/>
      <c r="E310" s="38"/>
      <c r="F310" s="43" t="s">
        <v>548</v>
      </c>
    </row>
    <row r="311" spans="1:6" ht="31.5" x14ac:dyDescent="0.25">
      <c r="A311" s="31" t="s">
        <v>190</v>
      </c>
      <c r="B311" s="36"/>
      <c r="C311" s="38"/>
      <c r="D311" s="28"/>
      <c r="E311" s="38"/>
      <c r="F311" s="43" t="s">
        <v>548</v>
      </c>
    </row>
    <row r="312" spans="1:6" x14ac:dyDescent="0.25">
      <c r="A312" s="31" t="s">
        <v>35</v>
      </c>
      <c r="B312" s="36"/>
      <c r="C312" s="38"/>
      <c r="D312" s="28"/>
      <c r="E312" s="38"/>
      <c r="F312" s="43" t="s">
        <v>548</v>
      </c>
    </row>
    <row r="313" spans="1:6" x14ac:dyDescent="0.25">
      <c r="A313" s="30" t="s">
        <v>198</v>
      </c>
      <c r="B313" s="35"/>
      <c r="C313" s="38"/>
      <c r="D313" s="28"/>
      <c r="E313" s="38"/>
      <c r="F313" s="32"/>
    </row>
    <row r="314" spans="1:6" x14ac:dyDescent="0.25">
      <c r="A314" s="30" t="s">
        <v>36</v>
      </c>
      <c r="B314" s="35"/>
      <c r="C314" s="38"/>
      <c r="D314" s="28"/>
      <c r="E314" s="38"/>
      <c r="F314" s="32"/>
    </row>
    <row r="315" spans="1:6" ht="63" x14ac:dyDescent="0.25">
      <c r="A315" s="80" t="s">
        <v>418</v>
      </c>
      <c r="B315" s="80" t="s">
        <v>418</v>
      </c>
      <c r="C315" s="80" t="s">
        <v>418</v>
      </c>
      <c r="D315" s="80" t="s">
        <v>418</v>
      </c>
      <c r="E315" s="80" t="s">
        <v>418</v>
      </c>
      <c r="F315" s="43" t="s">
        <v>432</v>
      </c>
    </row>
    <row r="316" spans="1:6" x14ac:dyDescent="0.25">
      <c r="A316" s="30" t="s">
        <v>37</v>
      </c>
      <c r="B316" s="35"/>
      <c r="C316" s="38"/>
      <c r="D316" s="28"/>
      <c r="E316" s="38"/>
      <c r="F316" s="32"/>
    </row>
    <row r="317" spans="1:6" ht="31.5" x14ac:dyDescent="0.25">
      <c r="A317" s="30" t="s">
        <v>277</v>
      </c>
      <c r="B317" s="35"/>
      <c r="C317" s="38"/>
      <c r="D317" s="28"/>
      <c r="E317" s="38"/>
      <c r="F317" s="32"/>
    </row>
    <row r="318" spans="1:6" ht="47.25" x14ac:dyDescent="0.25">
      <c r="A318" s="30" t="s">
        <v>278</v>
      </c>
      <c r="B318" s="35"/>
      <c r="C318" s="38"/>
      <c r="D318" s="28"/>
      <c r="E318" s="38"/>
      <c r="F318" s="32"/>
    </row>
    <row r="319" spans="1:6" x14ac:dyDescent="0.25">
      <c r="A319" s="30" t="s">
        <v>38</v>
      </c>
      <c r="B319" s="35"/>
      <c r="C319" s="38"/>
      <c r="D319" s="28"/>
      <c r="E319" s="38"/>
      <c r="F319" s="32"/>
    </row>
    <row r="320" spans="1:6" x14ac:dyDescent="0.25">
      <c r="A320" s="30" t="s">
        <v>39</v>
      </c>
      <c r="B320" s="35"/>
      <c r="C320" s="38"/>
      <c r="D320" s="28"/>
      <c r="E320" s="38"/>
      <c r="F320" s="32"/>
    </row>
    <row r="321" spans="1:6" ht="18.75" x14ac:dyDescent="0.25">
      <c r="A321" s="80" t="s">
        <v>40</v>
      </c>
      <c r="B321" s="80" t="s">
        <v>40</v>
      </c>
      <c r="C321" s="80" t="s">
        <v>40</v>
      </c>
      <c r="D321" s="81" t="s">
        <v>40</v>
      </c>
      <c r="E321" s="81" t="s">
        <v>40</v>
      </c>
      <c r="F321" s="32"/>
    </row>
    <row r="322" spans="1:6" x14ac:dyDescent="0.25">
      <c r="A322" s="31" t="s">
        <v>433</v>
      </c>
      <c r="B322" s="36"/>
      <c r="C322" s="38"/>
      <c r="D322" s="28"/>
      <c r="E322" s="38"/>
      <c r="F322" s="32"/>
    </row>
    <row r="323" spans="1:6" x14ac:dyDescent="0.25">
      <c r="A323" s="31" t="s">
        <v>213</v>
      </c>
      <c r="B323" s="36"/>
      <c r="C323" s="38"/>
      <c r="D323" s="28"/>
      <c r="E323" s="38"/>
      <c r="F323" s="32"/>
    </row>
    <row r="324" spans="1:6" x14ac:dyDescent="0.25">
      <c r="A324" s="31" t="s">
        <v>510</v>
      </c>
      <c r="B324" s="36"/>
      <c r="C324" s="38"/>
      <c r="D324" s="28"/>
      <c r="E324" s="38"/>
      <c r="F324" s="32"/>
    </row>
    <row r="325" spans="1:6" ht="47.25" x14ac:dyDescent="0.25">
      <c r="A325" s="31" t="s">
        <v>511</v>
      </c>
      <c r="B325" s="36"/>
      <c r="C325" s="38"/>
      <c r="D325" s="28"/>
      <c r="E325" s="38"/>
      <c r="F325" s="32"/>
    </row>
    <row r="326" spans="1:6" x14ac:dyDescent="0.25">
      <c r="A326" s="31" t="s">
        <v>199</v>
      </c>
      <c r="B326" s="36"/>
      <c r="C326" s="38"/>
      <c r="D326" s="28"/>
      <c r="E326" s="38"/>
      <c r="F326" s="43" t="s">
        <v>548</v>
      </c>
    </row>
    <row r="327" spans="1:6" x14ac:dyDescent="0.25">
      <c r="A327" s="31" t="s">
        <v>266</v>
      </c>
      <c r="B327" s="36"/>
      <c r="C327" s="38"/>
      <c r="D327" s="28"/>
      <c r="E327" s="38"/>
      <c r="F327" s="43" t="s">
        <v>548</v>
      </c>
    </row>
    <row r="328" spans="1:6" ht="47.25" x14ac:dyDescent="0.25">
      <c r="A328" s="30" t="s">
        <v>242</v>
      </c>
      <c r="B328" s="35"/>
      <c r="C328" s="38"/>
      <c r="D328" s="28"/>
      <c r="E328" s="38"/>
      <c r="F328" s="43" t="s">
        <v>434</v>
      </c>
    </row>
  </sheetData>
  <dataValidations count="4">
    <dataValidation type="list" allowBlank="1" showInputMessage="1" showErrorMessage="1" sqref="D76 D78:D94" xr:uid="{00000000-0002-0000-0500-000000000000}">
      <formula1>"Yes, No,On Roadmap22"</formula1>
    </dataValidation>
    <dataValidation type="list" allowBlank="1" showInputMessage="1" showErrorMessage="1" sqref="D277:D290 D229:D233 D292:D293 D261:D275 D146:D154 D316:D320 D156:D163 D72:D75 D221:D227 D110:D115 D235:D244 D181:D197 D199:D219 D51:D55 D117:D134 D302:D314 D15:D26 D66:D70 D136:D144 D295:D300 D165:D179 D57:D64 D28:D49 D322:D328 D246:D259 D96:D102 D104:D108" xr:uid="{00000000-0002-0000-0500-000001000000}">
      <formula1>"Yes, No, Roadmap"</formula1>
    </dataValidation>
    <dataValidation type="list" allowBlank="1" showInputMessage="1" showErrorMessage="1" sqref="B4:B13 B110:B115 B146:B154 B156:B163 B221:B227 B229:B233 B235:B244 B261:B275 B277:B290 B292:B293 B316:B320 B181:B197 B199:B219 B51:B55 B117:B134 B302:B314 B15:B26 B72:B76 B66:B70 B136:B144 B295:B300 B165:B179 B57:B64 B28:B49 B322:B328 B246:B259 B78:B94 B96:B102 B104:B108" xr:uid="{D87331BB-0787-4969-87BC-E1A65FBBD76E}">
      <formula1>"Yes, No, Maybe"</formula1>
    </dataValidation>
    <dataValidation type="list" allowBlank="1" showInputMessage="1" showErrorMessage="1" sqref="C4:D13" xr:uid="{9C9E49DF-EC65-4BBB-9589-4B3BC4551F3F}">
      <formula1>"Yes,No"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571C-1BFE-4211-B869-4F20797EF334}">
  <sheetPr published="0"/>
  <dimension ref="A1:F39"/>
  <sheetViews>
    <sheetView workbookViewId="0">
      <pane ySplit="2" topLeftCell="A38" activePane="bottomLeft" state="frozen"/>
      <selection pane="bottomLeft" activeCell="A5" sqref="A5:XFD5"/>
    </sheetView>
  </sheetViews>
  <sheetFormatPr defaultRowHeight="15" x14ac:dyDescent="0.25"/>
  <cols>
    <col min="1" max="1" width="39.85546875" customWidth="1"/>
    <col min="2" max="2" width="24.28515625" customWidth="1"/>
    <col min="3" max="3" width="38.140625" customWidth="1"/>
    <col min="4" max="4" width="21" customWidth="1"/>
    <col min="5" max="5" width="22.28515625" customWidth="1"/>
    <col min="6" max="6" width="49" customWidth="1"/>
  </cols>
  <sheetData>
    <row r="1" spans="1:6" ht="93" customHeight="1" x14ac:dyDescent="0.25">
      <c r="B1" s="87" t="s">
        <v>416</v>
      </c>
      <c r="C1" s="87" t="s">
        <v>448</v>
      </c>
      <c r="D1" s="88" t="s">
        <v>485</v>
      </c>
      <c r="E1" s="88" t="s">
        <v>582</v>
      </c>
    </row>
    <row r="2" spans="1:6" ht="71.25" customHeight="1" x14ac:dyDescent="0.25">
      <c r="A2" s="89" t="s">
        <v>460</v>
      </c>
      <c r="B2" s="89" t="s">
        <v>460</v>
      </c>
      <c r="C2" s="89" t="s">
        <v>460</v>
      </c>
      <c r="D2" s="89" t="s">
        <v>460</v>
      </c>
      <c r="E2" s="89" t="s">
        <v>460</v>
      </c>
      <c r="F2" s="79"/>
    </row>
    <row r="3" spans="1:6" ht="63" customHeight="1" x14ac:dyDescent="0.25">
      <c r="A3" s="34" t="s">
        <v>512</v>
      </c>
      <c r="B3" s="36"/>
      <c r="C3" s="28"/>
      <c r="D3" s="28"/>
      <c r="E3" s="28"/>
      <c r="F3" s="79"/>
    </row>
    <row r="4" spans="1:6" ht="71.25" customHeight="1" x14ac:dyDescent="0.25">
      <c r="A4" s="34" t="s">
        <v>513</v>
      </c>
      <c r="B4" s="36"/>
      <c r="C4" s="28"/>
      <c r="D4" s="28"/>
      <c r="E4" s="28"/>
      <c r="F4" s="79"/>
    </row>
    <row r="5" spans="1:6" ht="79.5" customHeight="1" x14ac:dyDescent="0.25">
      <c r="A5" s="34" t="s">
        <v>514</v>
      </c>
      <c r="B5" s="36"/>
      <c r="C5" s="28"/>
      <c r="D5" s="28"/>
      <c r="E5" s="28"/>
      <c r="F5" s="79"/>
    </row>
    <row r="6" spans="1:6" ht="77.25" customHeight="1" x14ac:dyDescent="0.25">
      <c r="A6" s="34" t="s">
        <v>515</v>
      </c>
      <c r="B6" s="36"/>
      <c r="C6" s="28"/>
      <c r="D6" s="28"/>
      <c r="E6" s="28"/>
      <c r="F6" s="79"/>
    </row>
    <row r="7" spans="1:6" ht="127.5" customHeight="1" x14ac:dyDescent="0.25">
      <c r="A7" s="34" t="s">
        <v>573</v>
      </c>
      <c r="B7" s="36"/>
      <c r="C7" s="28"/>
      <c r="D7" s="28"/>
      <c r="E7" s="28"/>
      <c r="F7" s="79"/>
    </row>
    <row r="8" spans="1:6" ht="71.25" customHeight="1" x14ac:dyDescent="0.25">
      <c r="A8" s="34" t="s">
        <v>516</v>
      </c>
      <c r="B8" s="36"/>
      <c r="C8" s="28"/>
      <c r="D8" s="28"/>
      <c r="E8" s="28"/>
      <c r="F8" s="79"/>
    </row>
    <row r="9" spans="1:6" ht="74.25" customHeight="1" x14ac:dyDescent="0.25">
      <c r="A9" s="34" t="s">
        <v>517</v>
      </c>
      <c r="B9" s="36"/>
      <c r="C9" s="28"/>
      <c r="D9" s="28"/>
      <c r="E9" s="28"/>
      <c r="F9" s="79"/>
    </row>
    <row r="10" spans="1:6" ht="67.5" customHeight="1" x14ac:dyDescent="0.25">
      <c r="A10" s="34" t="s">
        <v>518</v>
      </c>
      <c r="B10" s="36"/>
      <c r="C10" s="28"/>
      <c r="D10" s="28"/>
      <c r="E10" s="28"/>
      <c r="F10" s="79"/>
    </row>
    <row r="11" spans="1:6" ht="109.5" customHeight="1" x14ac:dyDescent="0.25">
      <c r="A11" s="34" t="s">
        <v>519</v>
      </c>
      <c r="B11" s="36"/>
      <c r="C11" s="28"/>
      <c r="D11" s="28"/>
      <c r="E11" s="28"/>
      <c r="F11" s="79"/>
    </row>
    <row r="12" spans="1:6" ht="77.25" customHeight="1" x14ac:dyDescent="0.25">
      <c r="A12" s="34" t="s">
        <v>520</v>
      </c>
      <c r="B12" s="36"/>
      <c r="C12" s="28"/>
      <c r="D12" s="28"/>
      <c r="E12" s="28"/>
      <c r="F12" s="79"/>
    </row>
    <row r="13" spans="1:6" ht="63" customHeight="1" x14ac:dyDescent="0.25">
      <c r="A13" s="34" t="s">
        <v>521</v>
      </c>
      <c r="B13" s="36"/>
      <c r="C13" s="66"/>
      <c r="D13" s="28"/>
      <c r="E13" s="66"/>
      <c r="F13" s="79"/>
    </row>
    <row r="14" spans="1:6" ht="71.25" customHeight="1" x14ac:dyDescent="0.25">
      <c r="A14" s="34" t="s">
        <v>522</v>
      </c>
      <c r="B14" s="36"/>
      <c r="C14" s="66"/>
      <c r="D14" s="28"/>
      <c r="E14" s="66"/>
      <c r="F14" s="79"/>
    </row>
    <row r="15" spans="1:6" ht="83.25" customHeight="1" x14ac:dyDescent="0.25">
      <c r="A15" s="34" t="s">
        <v>533</v>
      </c>
      <c r="B15" s="36"/>
      <c r="C15" s="66"/>
      <c r="D15" s="28"/>
      <c r="E15" s="66"/>
      <c r="F15" s="79"/>
    </row>
    <row r="16" spans="1:6" ht="57" customHeight="1" x14ac:dyDescent="0.25">
      <c r="A16" s="34" t="s">
        <v>523</v>
      </c>
      <c r="B16" s="36"/>
      <c r="C16" s="66"/>
      <c r="D16" s="28"/>
      <c r="E16" s="66"/>
      <c r="F16" s="79"/>
    </row>
    <row r="17" spans="1:6" ht="71.25" customHeight="1" x14ac:dyDescent="0.25">
      <c r="A17" s="34" t="s">
        <v>524</v>
      </c>
      <c r="B17" s="36"/>
      <c r="C17" s="66"/>
      <c r="D17" s="28"/>
      <c r="E17" s="66"/>
      <c r="F17" s="79"/>
    </row>
    <row r="18" spans="1:6" ht="68.25" customHeight="1" x14ac:dyDescent="0.25">
      <c r="A18" s="34" t="s">
        <v>525</v>
      </c>
      <c r="B18" s="36"/>
      <c r="C18" s="66"/>
      <c r="D18" s="28"/>
      <c r="E18" s="66"/>
      <c r="F18" s="79"/>
    </row>
    <row r="19" spans="1:6" ht="72.75" customHeight="1" x14ac:dyDescent="0.25">
      <c r="A19" s="34" t="s">
        <v>526</v>
      </c>
      <c r="B19" s="36"/>
      <c r="C19" s="66"/>
      <c r="D19" s="28"/>
      <c r="E19" s="66"/>
      <c r="F19" s="79"/>
    </row>
    <row r="20" spans="1:6" ht="72.75" customHeight="1" x14ac:dyDescent="0.25">
      <c r="A20" s="34" t="s">
        <v>527</v>
      </c>
      <c r="B20" s="36"/>
      <c r="C20" s="66"/>
      <c r="D20" s="28"/>
      <c r="E20" s="66"/>
      <c r="F20" s="79"/>
    </row>
    <row r="21" spans="1:6" ht="62.25" customHeight="1" x14ac:dyDescent="0.25">
      <c r="A21" s="34" t="s">
        <v>574</v>
      </c>
      <c r="B21" s="36"/>
      <c r="C21" s="66"/>
      <c r="D21" s="28"/>
      <c r="E21" s="66"/>
      <c r="F21" s="79"/>
    </row>
    <row r="22" spans="1:6" ht="72" customHeight="1" x14ac:dyDescent="0.25">
      <c r="A22" s="34" t="s">
        <v>528</v>
      </c>
      <c r="B22" s="36"/>
      <c r="C22" s="66"/>
      <c r="D22" s="28"/>
      <c r="E22" s="66"/>
      <c r="F22" s="79"/>
    </row>
    <row r="23" spans="1:6" ht="78.75" customHeight="1" x14ac:dyDescent="0.25">
      <c r="A23" s="34" t="s">
        <v>575</v>
      </c>
      <c r="B23" s="36"/>
      <c r="C23" s="66"/>
      <c r="D23" s="28"/>
      <c r="E23" s="66"/>
      <c r="F23" s="79"/>
    </row>
    <row r="24" spans="1:6" ht="72.75" customHeight="1" x14ac:dyDescent="0.25">
      <c r="A24" s="34" t="s">
        <v>529</v>
      </c>
      <c r="B24" s="36"/>
      <c r="C24" s="66"/>
      <c r="D24" s="28"/>
      <c r="E24" s="66"/>
      <c r="F24" s="79"/>
    </row>
    <row r="25" spans="1:6" ht="84" customHeight="1" x14ac:dyDescent="0.25">
      <c r="A25" s="34" t="s">
        <v>530</v>
      </c>
      <c r="B25" s="36"/>
      <c r="C25" s="38"/>
      <c r="D25" s="28"/>
      <c r="E25" s="38"/>
      <c r="F25" s="32"/>
    </row>
    <row r="26" spans="1:6" ht="79.5" customHeight="1" x14ac:dyDescent="0.25">
      <c r="A26" s="34" t="s">
        <v>531</v>
      </c>
      <c r="B26" s="36"/>
      <c r="C26" s="38"/>
      <c r="D26" s="28"/>
      <c r="E26" s="38"/>
      <c r="F26" s="32"/>
    </row>
    <row r="27" spans="1:6" ht="82.5" customHeight="1" x14ac:dyDescent="0.25">
      <c r="A27" s="34" t="s">
        <v>532</v>
      </c>
      <c r="B27" s="36"/>
      <c r="C27" s="38"/>
      <c r="D27" s="28"/>
      <c r="E27" s="38"/>
      <c r="F27" s="32"/>
    </row>
    <row r="28" spans="1:6" ht="53.25" customHeight="1" x14ac:dyDescent="0.25">
      <c r="A28" s="34" t="s">
        <v>534</v>
      </c>
      <c r="B28" s="36"/>
      <c r="C28" s="38"/>
      <c r="D28" s="28"/>
      <c r="E28" s="38"/>
      <c r="F28" s="32"/>
    </row>
    <row r="29" spans="1:6" ht="18.75" customHeight="1" x14ac:dyDescent="0.25">
      <c r="A29" s="34" t="s">
        <v>543</v>
      </c>
      <c r="B29" s="36"/>
      <c r="C29" s="38"/>
      <c r="D29" s="28"/>
      <c r="E29" s="38"/>
      <c r="F29" s="32"/>
    </row>
    <row r="30" spans="1:6" ht="65.25" customHeight="1" x14ac:dyDescent="0.25">
      <c r="A30" s="34" t="s">
        <v>535</v>
      </c>
      <c r="B30" s="36"/>
      <c r="C30" s="38"/>
      <c r="D30" s="28"/>
      <c r="E30" s="38"/>
      <c r="F30" s="32"/>
    </row>
    <row r="31" spans="1:6" ht="24" customHeight="1" x14ac:dyDescent="0.25">
      <c r="A31" s="34" t="s">
        <v>536</v>
      </c>
      <c r="B31" s="36"/>
      <c r="C31" s="38"/>
      <c r="D31" s="28"/>
      <c r="E31" s="38"/>
      <c r="F31" s="32"/>
    </row>
    <row r="32" spans="1:6" ht="37.5" customHeight="1" x14ac:dyDescent="0.25">
      <c r="A32" s="34" t="s">
        <v>537</v>
      </c>
      <c r="B32" s="36"/>
      <c r="C32" s="38"/>
      <c r="D32" s="28"/>
      <c r="E32" s="38"/>
      <c r="F32" s="32"/>
    </row>
    <row r="33" spans="1:6" ht="87.75" customHeight="1" x14ac:dyDescent="0.25">
      <c r="A33" s="34" t="s">
        <v>538</v>
      </c>
      <c r="B33" s="36"/>
      <c r="C33" s="38"/>
      <c r="D33" s="28"/>
      <c r="E33" s="38"/>
      <c r="F33" s="32"/>
    </row>
    <row r="34" spans="1:6" ht="66.75" customHeight="1" x14ac:dyDescent="0.25">
      <c r="A34" s="34" t="s">
        <v>535</v>
      </c>
      <c r="B34" s="36"/>
      <c r="C34" s="38"/>
      <c r="D34" s="28"/>
      <c r="E34" s="38"/>
      <c r="F34" s="32"/>
    </row>
    <row r="35" spans="1:6" ht="86.25" customHeight="1" x14ac:dyDescent="0.25">
      <c r="A35" s="34" t="s">
        <v>539</v>
      </c>
      <c r="B35" s="36"/>
      <c r="C35" s="38"/>
      <c r="D35" s="28"/>
      <c r="E35" s="38"/>
      <c r="F35" s="32"/>
    </row>
    <row r="36" spans="1:6" ht="89.25" customHeight="1" x14ac:dyDescent="0.25">
      <c r="A36" s="34" t="s">
        <v>540</v>
      </c>
      <c r="B36" s="36"/>
      <c r="C36" s="38"/>
      <c r="D36" s="28"/>
      <c r="E36" s="38"/>
      <c r="F36" s="32"/>
    </row>
    <row r="37" spans="1:6" ht="30" customHeight="1" x14ac:dyDescent="0.25">
      <c r="A37" s="34" t="s">
        <v>541</v>
      </c>
      <c r="B37" s="36"/>
      <c r="C37" s="38"/>
      <c r="D37" s="28"/>
      <c r="E37" s="38"/>
      <c r="F37" s="32"/>
    </row>
    <row r="38" spans="1:6" ht="58.5" customHeight="1" x14ac:dyDescent="0.25">
      <c r="A38" s="34" t="s">
        <v>542</v>
      </c>
      <c r="B38" s="36"/>
      <c r="C38" s="38"/>
      <c r="D38" s="28"/>
      <c r="E38" s="38"/>
      <c r="F38" s="32"/>
    </row>
    <row r="39" spans="1:6" ht="58.5" customHeight="1" x14ac:dyDescent="0.25">
      <c r="A39" s="34" t="s">
        <v>544</v>
      </c>
      <c r="B39" s="36"/>
      <c r="C39" s="38"/>
      <c r="D39" s="28"/>
      <c r="E39" s="38"/>
      <c r="F39" s="32"/>
    </row>
  </sheetData>
  <dataValidations count="2">
    <dataValidation type="list" allowBlank="1" showInputMessage="1" showErrorMessage="1" sqref="B3:B39" xr:uid="{8076849B-2743-4CAF-883F-35155E1BF32E}">
      <formula1>"Yes, No, Maybe"</formula1>
    </dataValidation>
    <dataValidation type="list" allowBlank="1" showInputMessage="1" showErrorMessage="1" sqref="D3:D39" xr:uid="{3E78AE42-21A5-441E-BBA3-9F0F8B2645F6}">
      <formula1>"Yes, No, Roadmap"</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DCFC-3800-447D-81F2-EC7CF8CA3BFF}">
  <sheetPr published="0"/>
  <dimension ref="A2:F483"/>
  <sheetViews>
    <sheetView topLeftCell="A2" zoomScale="75" zoomScaleNormal="75" workbookViewId="0">
      <pane ySplit="1" topLeftCell="A4" activePane="bottomLeft" state="frozen"/>
      <selection activeCell="A17" sqref="A17"/>
      <selection pane="bottomLeft" activeCell="D4" sqref="D4"/>
    </sheetView>
  </sheetViews>
  <sheetFormatPr defaultColWidth="60.28515625" defaultRowHeight="15.75" x14ac:dyDescent="0.25"/>
  <cols>
    <col min="1" max="3" width="63.7109375" style="33" customWidth="1"/>
    <col min="4" max="4" width="54.42578125" style="4" customWidth="1"/>
    <col min="5" max="5" width="60.28515625" style="29"/>
    <col min="6" max="6" width="60.28515625" style="5"/>
    <col min="7" max="16384" width="60.28515625" style="6"/>
  </cols>
  <sheetData>
    <row r="2" spans="1:5" ht="60" customHeight="1" x14ac:dyDescent="0.25">
      <c r="A2" s="39" t="s">
        <v>221</v>
      </c>
      <c r="B2" s="64" t="s">
        <v>416</v>
      </c>
      <c r="C2" s="64" t="s">
        <v>448</v>
      </c>
      <c r="D2" s="40" t="s">
        <v>485</v>
      </c>
      <c r="E2" s="40" t="s">
        <v>415</v>
      </c>
    </row>
    <row r="3" spans="1:5" ht="89.25" customHeight="1" x14ac:dyDescent="0.25">
      <c r="A3" s="80" t="s">
        <v>447</v>
      </c>
      <c r="B3" s="80" t="s">
        <v>447</v>
      </c>
      <c r="C3" s="80" t="s">
        <v>447</v>
      </c>
      <c r="D3" s="80" t="s">
        <v>447</v>
      </c>
      <c r="E3" s="80" t="s">
        <v>447</v>
      </c>
    </row>
    <row r="4" spans="1:5" ht="47.25" x14ac:dyDescent="0.25">
      <c r="A4" s="31" t="s">
        <v>468</v>
      </c>
      <c r="B4" s="36"/>
      <c r="C4" s="36"/>
      <c r="D4" s="28"/>
      <c r="E4" s="32"/>
    </row>
    <row r="5" spans="1:5" x14ac:dyDescent="0.25">
      <c r="A5" s="31" t="s">
        <v>581</v>
      </c>
      <c r="B5" s="36"/>
      <c r="C5" s="36"/>
      <c r="D5" s="28"/>
      <c r="E5" s="32"/>
    </row>
    <row r="6" spans="1:5" ht="31.5" x14ac:dyDescent="0.25">
      <c r="A6" s="31" t="s">
        <v>451</v>
      </c>
      <c r="B6" s="36"/>
      <c r="C6" s="36"/>
      <c r="D6" s="28"/>
      <c r="E6" s="32"/>
    </row>
    <row r="7" spans="1:5" x14ac:dyDescent="0.25">
      <c r="A7" s="31" t="s">
        <v>452</v>
      </c>
      <c r="B7" s="36"/>
      <c r="C7" s="36"/>
      <c r="D7" s="28"/>
      <c r="E7" s="32"/>
    </row>
    <row r="8" spans="1:5" x14ac:dyDescent="0.25">
      <c r="A8" s="31" t="s">
        <v>453</v>
      </c>
      <c r="B8" s="36"/>
      <c r="C8" s="36"/>
      <c r="D8" s="28"/>
      <c r="E8" s="32"/>
    </row>
    <row r="9" spans="1:5" x14ac:dyDescent="0.25">
      <c r="A9" s="31" t="s">
        <v>472</v>
      </c>
      <c r="B9" s="36"/>
      <c r="C9" s="36"/>
      <c r="D9" s="28"/>
      <c r="E9" s="32"/>
    </row>
    <row r="10" spans="1:5" ht="31.5" x14ac:dyDescent="0.25">
      <c r="A10" s="31" t="s">
        <v>454</v>
      </c>
      <c r="B10" s="36"/>
      <c r="C10" s="36"/>
      <c r="D10" s="28"/>
      <c r="E10" s="32"/>
    </row>
    <row r="11" spans="1:5" x14ac:dyDescent="0.25">
      <c r="A11" s="31" t="s">
        <v>455</v>
      </c>
      <c r="B11" s="36"/>
      <c r="C11" s="36"/>
      <c r="D11" s="28"/>
      <c r="E11" s="32"/>
    </row>
    <row r="12" spans="1:5" x14ac:dyDescent="0.25">
      <c r="A12" s="31" t="s">
        <v>456</v>
      </c>
      <c r="B12" s="36"/>
      <c r="C12" s="36"/>
      <c r="D12" s="28"/>
      <c r="E12" s="32"/>
    </row>
    <row r="13" spans="1:5" x14ac:dyDescent="0.25">
      <c r="A13" s="31" t="s">
        <v>457</v>
      </c>
      <c r="B13" s="36"/>
      <c r="C13" s="36"/>
      <c r="D13" s="28"/>
      <c r="E13" s="32"/>
    </row>
    <row r="14" spans="1:5" ht="31.5" x14ac:dyDescent="0.25">
      <c r="A14" s="31" t="s">
        <v>458</v>
      </c>
      <c r="B14" s="36"/>
      <c r="C14" s="36"/>
      <c r="D14" s="28"/>
      <c r="E14" s="32"/>
    </row>
    <row r="15" spans="1:5" x14ac:dyDescent="0.25">
      <c r="A15" s="31" t="s">
        <v>469</v>
      </c>
      <c r="B15" s="36"/>
      <c r="C15" s="36"/>
      <c r="D15" s="28"/>
      <c r="E15" s="32"/>
    </row>
    <row r="16" spans="1:5" x14ac:dyDescent="0.25">
      <c r="A16" s="31" t="s">
        <v>459</v>
      </c>
      <c r="B16" s="36"/>
      <c r="C16" s="36"/>
      <c r="D16" s="28"/>
      <c r="E16" s="32"/>
    </row>
    <row r="17" spans="1:5" x14ac:dyDescent="0.25">
      <c r="A17" s="31" t="s">
        <v>464</v>
      </c>
      <c r="B17" s="36"/>
      <c r="C17" s="36"/>
      <c r="D17" s="28"/>
      <c r="E17" s="32"/>
    </row>
    <row r="18" spans="1:5" x14ac:dyDescent="0.25">
      <c r="A18" s="31" t="s">
        <v>465</v>
      </c>
      <c r="B18" s="36"/>
      <c r="C18" s="36"/>
      <c r="D18" s="28"/>
      <c r="E18" s="32"/>
    </row>
    <row r="19" spans="1:5" x14ac:dyDescent="0.25">
      <c r="A19" s="31" t="s">
        <v>466</v>
      </c>
      <c r="B19" s="36"/>
      <c r="C19" s="36"/>
      <c r="D19" s="28"/>
      <c r="E19" s="32"/>
    </row>
    <row r="20" spans="1:5" x14ac:dyDescent="0.25">
      <c r="A20" s="31" t="s">
        <v>467</v>
      </c>
      <c r="B20" s="36"/>
      <c r="C20" s="36"/>
      <c r="D20" s="28"/>
      <c r="E20" s="32"/>
    </row>
    <row r="21" spans="1:5" ht="21.75" customHeight="1" x14ac:dyDescent="0.25">
      <c r="A21" s="31" t="s">
        <v>461</v>
      </c>
      <c r="B21" s="36"/>
      <c r="C21" s="36"/>
      <c r="D21" s="28"/>
      <c r="E21" s="32"/>
    </row>
    <row r="22" spans="1:5" ht="21.75" customHeight="1" x14ac:dyDescent="0.25">
      <c r="A22" s="31" t="s">
        <v>462</v>
      </c>
      <c r="B22" s="31"/>
      <c r="C22" s="31"/>
      <c r="D22" s="65"/>
      <c r="E22" s="32"/>
    </row>
    <row r="23" spans="1:5" ht="51.75" customHeight="1" x14ac:dyDescent="0.25">
      <c r="A23" s="31" t="s">
        <v>463</v>
      </c>
      <c r="B23" s="31"/>
      <c r="C23" s="31"/>
      <c r="D23" s="65"/>
      <c r="E23" s="32"/>
    </row>
    <row r="24" spans="1:5" x14ac:dyDescent="0.25">
      <c r="A24" s="30"/>
      <c r="B24" s="30"/>
      <c r="C24" s="30"/>
      <c r="D24" s="90"/>
    </row>
    <row r="25" spans="1:5" x14ac:dyDescent="0.25">
      <c r="E25" s="5"/>
    </row>
    <row r="26" spans="1:5" x14ac:dyDescent="0.25">
      <c r="E26" s="5"/>
    </row>
    <row r="27" spans="1:5" x14ac:dyDescent="0.25">
      <c r="E27" s="5"/>
    </row>
    <row r="28" spans="1:5" x14ac:dyDescent="0.25">
      <c r="E28" s="5"/>
    </row>
    <row r="29" spans="1:5" x14ac:dyDescent="0.25">
      <c r="E29" s="5"/>
    </row>
    <row r="30" spans="1:5" x14ac:dyDescent="0.25">
      <c r="E30" s="5"/>
    </row>
    <row r="31" spans="1:5" x14ac:dyDescent="0.25">
      <c r="E31" s="5"/>
    </row>
    <row r="32" spans="1:5" x14ac:dyDescent="0.25">
      <c r="E32" s="5"/>
    </row>
    <row r="33" spans="5:5" x14ac:dyDescent="0.25">
      <c r="E33" s="5"/>
    </row>
    <row r="34" spans="5:5" x14ac:dyDescent="0.25">
      <c r="E34" s="5"/>
    </row>
    <row r="35" spans="5:5" x14ac:dyDescent="0.25">
      <c r="E35" s="5"/>
    </row>
    <row r="36" spans="5:5" x14ac:dyDescent="0.25">
      <c r="E36" s="5"/>
    </row>
    <row r="37" spans="5:5" x14ac:dyDescent="0.25">
      <c r="E37" s="5"/>
    </row>
    <row r="38" spans="5:5" x14ac:dyDescent="0.25">
      <c r="E38" s="5"/>
    </row>
    <row r="39" spans="5:5" x14ac:dyDescent="0.25">
      <c r="E39" s="5"/>
    </row>
    <row r="40" spans="5:5" x14ac:dyDescent="0.25">
      <c r="E40" s="5"/>
    </row>
    <row r="41" spans="5:5" x14ac:dyDescent="0.25">
      <c r="E41" s="5"/>
    </row>
    <row r="42" spans="5:5" x14ac:dyDescent="0.25">
      <c r="E42" s="5"/>
    </row>
    <row r="43" spans="5:5" x14ac:dyDescent="0.25">
      <c r="E43" s="5"/>
    </row>
    <row r="44" spans="5:5" x14ac:dyDescent="0.25">
      <c r="E44" s="5"/>
    </row>
    <row r="45" spans="5:5" x14ac:dyDescent="0.25">
      <c r="E45" s="5"/>
    </row>
    <row r="46" spans="5:5" x14ac:dyDescent="0.25">
      <c r="E46" s="5"/>
    </row>
    <row r="47" spans="5:5" x14ac:dyDescent="0.25">
      <c r="E47" s="5"/>
    </row>
    <row r="48" spans="5:5" x14ac:dyDescent="0.25">
      <c r="E48" s="5"/>
    </row>
    <row r="49" spans="5:5" x14ac:dyDescent="0.25">
      <c r="E49" s="5"/>
    </row>
    <row r="50" spans="5:5" x14ac:dyDescent="0.25">
      <c r="E50" s="5"/>
    </row>
    <row r="51" spans="5:5" x14ac:dyDescent="0.25">
      <c r="E51" s="5"/>
    </row>
    <row r="52" spans="5:5" x14ac:dyDescent="0.25">
      <c r="E52" s="5"/>
    </row>
    <row r="53" spans="5:5" x14ac:dyDescent="0.25">
      <c r="E53" s="5"/>
    </row>
    <row r="54" spans="5:5" x14ac:dyDescent="0.25">
      <c r="E54" s="5"/>
    </row>
    <row r="55" spans="5:5" x14ac:dyDescent="0.25">
      <c r="E55" s="5"/>
    </row>
    <row r="56" spans="5:5" x14ac:dyDescent="0.25">
      <c r="E56" s="5"/>
    </row>
    <row r="57" spans="5:5" x14ac:dyDescent="0.25">
      <c r="E57" s="5"/>
    </row>
    <row r="58" spans="5:5" x14ac:dyDescent="0.25">
      <c r="E58" s="5"/>
    </row>
    <row r="59" spans="5:5" x14ac:dyDescent="0.25">
      <c r="E59" s="5"/>
    </row>
    <row r="60" spans="5:5" x14ac:dyDescent="0.25">
      <c r="E60" s="5"/>
    </row>
    <row r="61" spans="5:5" x14ac:dyDescent="0.25">
      <c r="E61" s="5"/>
    </row>
    <row r="62" spans="5:5" x14ac:dyDescent="0.25">
      <c r="E62" s="5"/>
    </row>
    <row r="63" spans="5:5" x14ac:dyDescent="0.25">
      <c r="E63" s="5"/>
    </row>
    <row r="64" spans="5:5" x14ac:dyDescent="0.25">
      <c r="E64" s="5"/>
    </row>
    <row r="65" spans="5:5" x14ac:dyDescent="0.25">
      <c r="E65" s="5"/>
    </row>
    <row r="66" spans="5:5" x14ac:dyDescent="0.25">
      <c r="E66" s="5"/>
    </row>
    <row r="67" spans="5:5" x14ac:dyDescent="0.25">
      <c r="E67" s="5"/>
    </row>
    <row r="68" spans="5:5" x14ac:dyDescent="0.25">
      <c r="E68" s="5"/>
    </row>
    <row r="69" spans="5:5" x14ac:dyDescent="0.25">
      <c r="E69" s="5"/>
    </row>
    <row r="70" spans="5:5" x14ac:dyDescent="0.25">
      <c r="E70" s="5"/>
    </row>
    <row r="71" spans="5:5" x14ac:dyDescent="0.25">
      <c r="E71" s="5"/>
    </row>
    <row r="72" spans="5:5" x14ac:dyDescent="0.25">
      <c r="E72" s="5"/>
    </row>
    <row r="73" spans="5:5" x14ac:dyDescent="0.25">
      <c r="E73" s="5"/>
    </row>
    <row r="74" spans="5:5" x14ac:dyDescent="0.25">
      <c r="E74" s="5"/>
    </row>
    <row r="75" spans="5:5" x14ac:dyDescent="0.25">
      <c r="E75" s="5"/>
    </row>
    <row r="76" spans="5:5" x14ac:dyDescent="0.25">
      <c r="E76" s="5"/>
    </row>
    <row r="77" spans="5:5" x14ac:dyDescent="0.25">
      <c r="E77" s="5"/>
    </row>
    <row r="78" spans="5:5" x14ac:dyDescent="0.25">
      <c r="E78" s="5"/>
    </row>
    <row r="79" spans="5:5" x14ac:dyDescent="0.25">
      <c r="E79" s="5"/>
    </row>
    <row r="80" spans="5:5" x14ac:dyDescent="0.25">
      <c r="E80" s="5"/>
    </row>
    <row r="81" spans="5:5" x14ac:dyDescent="0.25">
      <c r="E81" s="5"/>
    </row>
    <row r="82" spans="5:5" x14ac:dyDescent="0.25">
      <c r="E82" s="5"/>
    </row>
    <row r="83" spans="5:5" x14ac:dyDescent="0.25">
      <c r="E83" s="5"/>
    </row>
    <row r="84" spans="5:5" x14ac:dyDescent="0.25">
      <c r="E84" s="5"/>
    </row>
    <row r="85" spans="5:5" x14ac:dyDescent="0.25">
      <c r="E85" s="5"/>
    </row>
    <row r="86" spans="5:5" x14ac:dyDescent="0.25">
      <c r="E86" s="5"/>
    </row>
    <row r="87" spans="5:5" x14ac:dyDescent="0.25">
      <c r="E87" s="5"/>
    </row>
    <row r="88" spans="5:5" x14ac:dyDescent="0.25">
      <c r="E88" s="5"/>
    </row>
    <row r="89" spans="5:5" x14ac:dyDescent="0.25">
      <c r="E89" s="5"/>
    </row>
    <row r="90" spans="5:5" x14ac:dyDescent="0.25">
      <c r="E90" s="5"/>
    </row>
    <row r="91" spans="5:5" x14ac:dyDescent="0.25">
      <c r="E91" s="5"/>
    </row>
    <row r="92" spans="5:5" x14ac:dyDescent="0.25">
      <c r="E92" s="5"/>
    </row>
    <row r="93" spans="5:5" x14ac:dyDescent="0.25">
      <c r="E93" s="5"/>
    </row>
    <row r="94" spans="5:5" x14ac:dyDescent="0.25">
      <c r="E94" s="5"/>
    </row>
    <row r="95" spans="5:5" x14ac:dyDescent="0.25">
      <c r="E95" s="5"/>
    </row>
    <row r="96" spans="5:5" x14ac:dyDescent="0.25">
      <c r="E96" s="5"/>
    </row>
    <row r="97" spans="5:5" x14ac:dyDescent="0.25">
      <c r="E97" s="5"/>
    </row>
    <row r="98" spans="5:5" x14ac:dyDescent="0.25">
      <c r="E98" s="5"/>
    </row>
    <row r="99" spans="5:5" x14ac:dyDescent="0.25">
      <c r="E99" s="5"/>
    </row>
    <row r="100" spans="5:5" x14ac:dyDescent="0.25">
      <c r="E100" s="5"/>
    </row>
    <row r="101" spans="5:5" x14ac:dyDescent="0.25">
      <c r="E101" s="5"/>
    </row>
    <row r="102" spans="5:5" x14ac:dyDescent="0.25">
      <c r="E102" s="5"/>
    </row>
    <row r="103" spans="5:5" x14ac:dyDescent="0.25">
      <c r="E103" s="5"/>
    </row>
    <row r="104" spans="5:5" x14ac:dyDescent="0.25">
      <c r="E104" s="5"/>
    </row>
    <row r="105" spans="5:5" x14ac:dyDescent="0.25">
      <c r="E105" s="5"/>
    </row>
    <row r="106" spans="5:5" x14ac:dyDescent="0.25">
      <c r="E106" s="5"/>
    </row>
    <row r="107" spans="5:5" x14ac:dyDescent="0.25">
      <c r="E107" s="5"/>
    </row>
    <row r="108" spans="5:5" x14ac:dyDescent="0.25">
      <c r="E108" s="5"/>
    </row>
    <row r="109" spans="5:5" x14ac:dyDescent="0.25">
      <c r="E109" s="5"/>
    </row>
    <row r="110" spans="5:5" x14ac:dyDescent="0.25">
      <c r="E110" s="5"/>
    </row>
    <row r="111" spans="5:5" x14ac:dyDescent="0.25">
      <c r="E111" s="5"/>
    </row>
    <row r="112" spans="5:5" x14ac:dyDescent="0.25">
      <c r="E112" s="5"/>
    </row>
    <row r="113" spans="5:5" x14ac:dyDescent="0.25">
      <c r="E113" s="5"/>
    </row>
    <row r="114" spans="5:5" x14ac:dyDescent="0.25">
      <c r="E114" s="5"/>
    </row>
    <row r="115" spans="5:5" x14ac:dyDescent="0.25">
      <c r="E115" s="5"/>
    </row>
    <row r="116" spans="5:5" x14ac:dyDescent="0.25">
      <c r="E116" s="5"/>
    </row>
    <row r="117" spans="5:5" x14ac:dyDescent="0.25">
      <c r="E117" s="5"/>
    </row>
    <row r="118" spans="5:5" x14ac:dyDescent="0.25">
      <c r="E118" s="5"/>
    </row>
    <row r="119" spans="5:5" x14ac:dyDescent="0.25">
      <c r="E119" s="5"/>
    </row>
    <row r="120" spans="5:5" x14ac:dyDescent="0.25">
      <c r="E120" s="5"/>
    </row>
    <row r="121" spans="5:5" x14ac:dyDescent="0.25">
      <c r="E121" s="5"/>
    </row>
    <row r="122" spans="5:5" x14ac:dyDescent="0.25">
      <c r="E122" s="5"/>
    </row>
    <row r="123" spans="5:5" x14ac:dyDescent="0.25">
      <c r="E123" s="5"/>
    </row>
    <row r="124" spans="5:5" x14ac:dyDescent="0.25">
      <c r="E124" s="5"/>
    </row>
    <row r="125" spans="5:5" x14ac:dyDescent="0.25">
      <c r="E125" s="5"/>
    </row>
    <row r="126" spans="5:5" x14ac:dyDescent="0.25">
      <c r="E126" s="5"/>
    </row>
    <row r="127" spans="5:5" x14ac:dyDescent="0.25">
      <c r="E127" s="5"/>
    </row>
    <row r="128" spans="5:5" x14ac:dyDescent="0.25">
      <c r="E128" s="5"/>
    </row>
    <row r="129" spans="5:5" x14ac:dyDescent="0.25">
      <c r="E129" s="5"/>
    </row>
    <row r="130" spans="5:5" x14ac:dyDescent="0.25">
      <c r="E130" s="5"/>
    </row>
    <row r="131" spans="5:5" x14ac:dyDescent="0.25">
      <c r="E131" s="5"/>
    </row>
    <row r="132" spans="5:5" x14ac:dyDescent="0.25">
      <c r="E132" s="5"/>
    </row>
    <row r="133" spans="5:5" x14ac:dyDescent="0.25">
      <c r="E133" s="5"/>
    </row>
    <row r="134" spans="5:5" x14ac:dyDescent="0.25">
      <c r="E134" s="5"/>
    </row>
    <row r="135" spans="5:5" x14ac:dyDescent="0.25">
      <c r="E135" s="5"/>
    </row>
    <row r="136" spans="5:5" x14ac:dyDescent="0.25">
      <c r="E136" s="5"/>
    </row>
    <row r="137" spans="5:5" x14ac:dyDescent="0.25">
      <c r="E137" s="5"/>
    </row>
    <row r="138" spans="5:5" x14ac:dyDescent="0.25">
      <c r="E138" s="5"/>
    </row>
    <row r="139" spans="5:5" x14ac:dyDescent="0.25">
      <c r="E139" s="5"/>
    </row>
    <row r="140" spans="5:5" x14ac:dyDescent="0.25">
      <c r="E140" s="5"/>
    </row>
    <row r="141" spans="5:5" x14ac:dyDescent="0.25">
      <c r="E141" s="5"/>
    </row>
    <row r="142" spans="5:5" x14ac:dyDescent="0.25">
      <c r="E142" s="5"/>
    </row>
    <row r="143" spans="5:5" x14ac:dyDescent="0.25">
      <c r="E143" s="5"/>
    </row>
    <row r="144" spans="5:5" x14ac:dyDescent="0.25">
      <c r="E144" s="5"/>
    </row>
    <row r="145" spans="5:5" x14ac:dyDescent="0.25">
      <c r="E145" s="5"/>
    </row>
    <row r="146" spans="5:5" x14ac:dyDescent="0.25">
      <c r="E146" s="5"/>
    </row>
    <row r="147" spans="5:5" x14ac:dyDescent="0.25">
      <c r="E147" s="5"/>
    </row>
    <row r="148" spans="5:5" x14ac:dyDescent="0.25">
      <c r="E148" s="5"/>
    </row>
    <row r="149" spans="5:5" x14ac:dyDescent="0.25">
      <c r="E149" s="5"/>
    </row>
    <row r="150" spans="5:5" x14ac:dyDescent="0.25">
      <c r="E150" s="5"/>
    </row>
    <row r="151" spans="5:5" x14ac:dyDescent="0.25">
      <c r="E151" s="5"/>
    </row>
    <row r="152" spans="5:5" x14ac:dyDescent="0.25">
      <c r="E152" s="5"/>
    </row>
    <row r="153" spans="5:5" x14ac:dyDescent="0.25">
      <c r="E153" s="5"/>
    </row>
    <row r="154" spans="5:5" x14ac:dyDescent="0.25">
      <c r="E154" s="5"/>
    </row>
    <row r="155" spans="5:5" x14ac:dyDescent="0.25">
      <c r="E155" s="5"/>
    </row>
    <row r="156" spans="5:5" x14ac:dyDescent="0.25">
      <c r="E156" s="5"/>
    </row>
    <row r="157" spans="5:5" x14ac:dyDescent="0.25">
      <c r="E157" s="5"/>
    </row>
    <row r="158" spans="5:5" x14ac:dyDescent="0.25">
      <c r="E158" s="5"/>
    </row>
    <row r="159" spans="5:5" x14ac:dyDescent="0.25">
      <c r="E159" s="5"/>
    </row>
    <row r="160" spans="5:5" x14ac:dyDescent="0.25">
      <c r="E160" s="5"/>
    </row>
    <row r="161" spans="5:5" x14ac:dyDescent="0.25">
      <c r="E161" s="5"/>
    </row>
    <row r="162" spans="5:5" x14ac:dyDescent="0.25">
      <c r="E162" s="5"/>
    </row>
    <row r="163" spans="5:5" x14ac:dyDescent="0.25">
      <c r="E163" s="5"/>
    </row>
    <row r="164" spans="5:5" x14ac:dyDescent="0.25">
      <c r="E164" s="5"/>
    </row>
    <row r="165" spans="5:5" x14ac:dyDescent="0.25">
      <c r="E165" s="5"/>
    </row>
    <row r="166" spans="5:5" x14ac:dyDescent="0.25">
      <c r="E166" s="5"/>
    </row>
    <row r="167" spans="5:5" x14ac:dyDescent="0.25">
      <c r="E167" s="5"/>
    </row>
    <row r="168" spans="5:5" x14ac:dyDescent="0.25">
      <c r="E168" s="5"/>
    </row>
    <row r="169" spans="5:5" x14ac:dyDescent="0.25">
      <c r="E169" s="5"/>
    </row>
    <row r="170" spans="5:5" x14ac:dyDescent="0.25">
      <c r="E170" s="5"/>
    </row>
    <row r="171" spans="5:5" x14ac:dyDescent="0.25">
      <c r="E171" s="5"/>
    </row>
    <row r="172" spans="5:5" x14ac:dyDescent="0.25">
      <c r="E172" s="5"/>
    </row>
    <row r="173" spans="5:5" x14ac:dyDescent="0.25">
      <c r="E173" s="5"/>
    </row>
    <row r="174" spans="5:5" x14ac:dyDescent="0.25">
      <c r="E174" s="5"/>
    </row>
    <row r="175" spans="5:5" x14ac:dyDescent="0.25">
      <c r="E175" s="5"/>
    </row>
    <row r="176" spans="5:5" x14ac:dyDescent="0.25">
      <c r="E176" s="5"/>
    </row>
    <row r="177" spans="5:5" x14ac:dyDescent="0.25">
      <c r="E177" s="5"/>
    </row>
    <row r="178" spans="5:5" x14ac:dyDescent="0.25">
      <c r="E178" s="5"/>
    </row>
    <row r="179" spans="5:5" x14ac:dyDescent="0.25">
      <c r="E179" s="5"/>
    </row>
    <row r="180" spans="5:5" x14ac:dyDescent="0.25">
      <c r="E180" s="5"/>
    </row>
    <row r="181" spans="5:5" x14ac:dyDescent="0.25">
      <c r="E181" s="5"/>
    </row>
    <row r="182" spans="5:5" x14ac:dyDescent="0.25">
      <c r="E182" s="5"/>
    </row>
    <row r="183" spans="5:5" x14ac:dyDescent="0.25">
      <c r="E183" s="5"/>
    </row>
    <row r="184" spans="5:5" x14ac:dyDescent="0.25">
      <c r="E184" s="5"/>
    </row>
    <row r="185" spans="5:5" x14ac:dyDescent="0.25">
      <c r="E185" s="5"/>
    </row>
    <row r="186" spans="5:5" x14ac:dyDescent="0.25">
      <c r="E186" s="5"/>
    </row>
    <row r="187" spans="5:5" x14ac:dyDescent="0.25">
      <c r="E187" s="5"/>
    </row>
    <row r="188" spans="5:5" x14ac:dyDescent="0.25">
      <c r="E188" s="5"/>
    </row>
    <row r="189" spans="5:5" x14ac:dyDescent="0.25">
      <c r="E189" s="5"/>
    </row>
    <row r="190" spans="5:5" x14ac:dyDescent="0.25">
      <c r="E190" s="5"/>
    </row>
    <row r="191" spans="5:5" x14ac:dyDescent="0.25">
      <c r="E191" s="5"/>
    </row>
    <row r="192" spans="5:5" x14ac:dyDescent="0.25">
      <c r="E192" s="5"/>
    </row>
    <row r="193" spans="5:5" x14ac:dyDescent="0.25">
      <c r="E193" s="5"/>
    </row>
    <row r="194" spans="5:5" x14ac:dyDescent="0.25">
      <c r="E194" s="5"/>
    </row>
    <row r="195" spans="5:5" x14ac:dyDescent="0.25">
      <c r="E195" s="5"/>
    </row>
    <row r="196" spans="5:5" x14ac:dyDescent="0.25">
      <c r="E196" s="5"/>
    </row>
    <row r="197" spans="5:5" x14ac:dyDescent="0.25">
      <c r="E197" s="5"/>
    </row>
    <row r="198" spans="5:5" x14ac:dyDescent="0.25">
      <c r="E198" s="5"/>
    </row>
    <row r="199" spans="5:5" x14ac:dyDescent="0.25">
      <c r="E199" s="5"/>
    </row>
    <row r="200" spans="5:5" x14ac:dyDescent="0.25">
      <c r="E200" s="5"/>
    </row>
    <row r="201" spans="5:5" x14ac:dyDescent="0.25">
      <c r="E201" s="5"/>
    </row>
    <row r="202" spans="5:5" x14ac:dyDescent="0.25">
      <c r="E202" s="5"/>
    </row>
    <row r="203" spans="5:5" x14ac:dyDescent="0.25">
      <c r="E203" s="5"/>
    </row>
    <row r="204" spans="5:5" x14ac:dyDescent="0.25">
      <c r="E204" s="5"/>
    </row>
    <row r="205" spans="5:5" x14ac:dyDescent="0.25">
      <c r="E205" s="5"/>
    </row>
    <row r="206" spans="5:5" x14ac:dyDescent="0.25">
      <c r="E206" s="5"/>
    </row>
    <row r="207" spans="5:5" x14ac:dyDescent="0.25">
      <c r="E207" s="5"/>
    </row>
    <row r="208" spans="5:5" x14ac:dyDescent="0.25">
      <c r="E208" s="5"/>
    </row>
    <row r="209" spans="5:5" x14ac:dyDescent="0.25">
      <c r="E209" s="5"/>
    </row>
    <row r="210" spans="5:5" x14ac:dyDescent="0.25">
      <c r="E210" s="5"/>
    </row>
    <row r="211" spans="5:5" x14ac:dyDescent="0.25">
      <c r="E211" s="5"/>
    </row>
    <row r="212" spans="5:5" x14ac:dyDescent="0.25">
      <c r="E212" s="5"/>
    </row>
    <row r="213" spans="5:5" x14ac:dyDescent="0.25">
      <c r="E213" s="5"/>
    </row>
    <row r="214" spans="5:5" x14ac:dyDescent="0.25">
      <c r="E214" s="5"/>
    </row>
    <row r="215" spans="5:5" x14ac:dyDescent="0.25">
      <c r="E215" s="5"/>
    </row>
    <row r="216" spans="5:5" x14ac:dyDescent="0.25">
      <c r="E216" s="5"/>
    </row>
    <row r="217" spans="5:5" x14ac:dyDescent="0.25">
      <c r="E217" s="5"/>
    </row>
    <row r="218" spans="5:5" x14ac:dyDescent="0.25">
      <c r="E218" s="5"/>
    </row>
    <row r="219" spans="5:5" x14ac:dyDescent="0.25">
      <c r="E219" s="5"/>
    </row>
    <row r="220" spans="5:5" x14ac:dyDescent="0.25">
      <c r="E220" s="5"/>
    </row>
    <row r="221" spans="5:5" x14ac:dyDescent="0.25">
      <c r="E221" s="5"/>
    </row>
    <row r="222" spans="5:5" x14ac:dyDescent="0.25">
      <c r="E222" s="5"/>
    </row>
    <row r="223" spans="5:5" x14ac:dyDescent="0.25">
      <c r="E223" s="5"/>
    </row>
    <row r="224" spans="5:5" x14ac:dyDescent="0.25">
      <c r="E224" s="5"/>
    </row>
    <row r="225" spans="5:5" x14ac:dyDescent="0.25">
      <c r="E225" s="5"/>
    </row>
    <row r="226" spans="5:5" x14ac:dyDescent="0.25">
      <c r="E226" s="5"/>
    </row>
    <row r="227" spans="5:5" x14ac:dyDescent="0.25">
      <c r="E227" s="5"/>
    </row>
    <row r="228" spans="5:5" x14ac:dyDescent="0.25">
      <c r="E228" s="5"/>
    </row>
    <row r="229" spans="5:5" x14ac:dyDescent="0.25">
      <c r="E229" s="5"/>
    </row>
    <row r="230" spans="5:5" x14ac:dyDescent="0.25">
      <c r="E230" s="5"/>
    </row>
    <row r="231" spans="5:5" x14ac:dyDescent="0.25">
      <c r="E231" s="5"/>
    </row>
    <row r="232" spans="5:5" x14ac:dyDescent="0.25">
      <c r="E232" s="5"/>
    </row>
    <row r="233" spans="5:5" x14ac:dyDescent="0.25">
      <c r="E233" s="5"/>
    </row>
    <row r="234" spans="5:5" x14ac:dyDescent="0.25">
      <c r="E234" s="5"/>
    </row>
    <row r="235" spans="5:5" x14ac:dyDescent="0.25">
      <c r="E235" s="5"/>
    </row>
    <row r="236" spans="5:5" x14ac:dyDescent="0.25">
      <c r="E236" s="5"/>
    </row>
    <row r="237" spans="5:5" x14ac:dyDescent="0.25">
      <c r="E237" s="5"/>
    </row>
    <row r="238" spans="5:5" x14ac:dyDescent="0.25">
      <c r="E238" s="5"/>
    </row>
    <row r="239" spans="5:5" x14ac:dyDescent="0.25">
      <c r="E239" s="5"/>
    </row>
    <row r="240" spans="5:5" x14ac:dyDescent="0.25">
      <c r="E240" s="5"/>
    </row>
    <row r="241" spans="5:5" x14ac:dyDescent="0.25">
      <c r="E241" s="5"/>
    </row>
    <row r="242" spans="5:5" x14ac:dyDescent="0.25">
      <c r="E242" s="5"/>
    </row>
    <row r="243" spans="5:5" x14ac:dyDescent="0.25">
      <c r="E243" s="5"/>
    </row>
    <row r="244" spans="5:5" x14ac:dyDescent="0.25">
      <c r="E244" s="5"/>
    </row>
    <row r="245" spans="5:5" x14ac:dyDescent="0.25">
      <c r="E245" s="5"/>
    </row>
    <row r="246" spans="5:5" x14ac:dyDescent="0.25">
      <c r="E246" s="5"/>
    </row>
    <row r="247" spans="5:5" x14ac:dyDescent="0.25">
      <c r="E247" s="5"/>
    </row>
    <row r="248" spans="5:5" x14ac:dyDescent="0.25">
      <c r="E248" s="5"/>
    </row>
    <row r="249" spans="5:5" x14ac:dyDescent="0.25">
      <c r="E249" s="5"/>
    </row>
    <row r="250" spans="5:5" x14ac:dyDescent="0.25">
      <c r="E250" s="5"/>
    </row>
    <row r="251" spans="5:5" x14ac:dyDescent="0.25">
      <c r="E251" s="5"/>
    </row>
    <row r="252" spans="5:5" x14ac:dyDescent="0.25">
      <c r="E252" s="5"/>
    </row>
    <row r="253" spans="5:5" x14ac:dyDescent="0.25">
      <c r="E253" s="5"/>
    </row>
    <row r="254" spans="5:5" x14ac:dyDescent="0.25">
      <c r="E254" s="5"/>
    </row>
    <row r="255" spans="5:5" x14ac:dyDescent="0.25">
      <c r="E255" s="5"/>
    </row>
    <row r="256" spans="5:5" x14ac:dyDescent="0.25">
      <c r="E256" s="5"/>
    </row>
    <row r="257" spans="5:5" x14ac:dyDescent="0.25">
      <c r="E257" s="5"/>
    </row>
    <row r="258" spans="5:5" x14ac:dyDescent="0.25">
      <c r="E258" s="5"/>
    </row>
    <row r="259" spans="5:5" x14ac:dyDescent="0.25">
      <c r="E259" s="5"/>
    </row>
    <row r="260" spans="5:5" x14ac:dyDescent="0.25">
      <c r="E260" s="5"/>
    </row>
    <row r="261" spans="5:5" x14ac:dyDescent="0.25">
      <c r="E261" s="5"/>
    </row>
    <row r="262" spans="5:5" x14ac:dyDescent="0.25">
      <c r="E262" s="5"/>
    </row>
    <row r="263" spans="5:5" x14ac:dyDescent="0.25">
      <c r="E263" s="5"/>
    </row>
    <row r="264" spans="5:5" x14ac:dyDescent="0.25">
      <c r="E264" s="5"/>
    </row>
    <row r="265" spans="5:5" x14ac:dyDescent="0.25">
      <c r="E265" s="5"/>
    </row>
    <row r="266" spans="5:5" x14ac:dyDescent="0.25">
      <c r="E266" s="5"/>
    </row>
    <row r="267" spans="5:5" x14ac:dyDescent="0.25">
      <c r="E267" s="5"/>
    </row>
    <row r="268" spans="5:5" x14ac:dyDescent="0.25">
      <c r="E268" s="5"/>
    </row>
    <row r="269" spans="5:5" x14ac:dyDescent="0.25">
      <c r="E269" s="5"/>
    </row>
    <row r="270" spans="5:5" x14ac:dyDescent="0.25">
      <c r="E270" s="5"/>
    </row>
    <row r="271" spans="5:5" x14ac:dyDescent="0.25">
      <c r="E271" s="5"/>
    </row>
    <row r="272" spans="5:5" x14ac:dyDescent="0.25">
      <c r="E272" s="5"/>
    </row>
    <row r="273" spans="5:5" x14ac:dyDescent="0.25">
      <c r="E273" s="5"/>
    </row>
    <row r="274" spans="5:5" x14ac:dyDescent="0.25">
      <c r="E274" s="5"/>
    </row>
    <row r="275" spans="5:5" x14ac:dyDescent="0.25">
      <c r="E275" s="5"/>
    </row>
    <row r="276" spans="5:5" x14ac:dyDescent="0.25">
      <c r="E276" s="5"/>
    </row>
    <row r="277" spans="5:5" x14ac:dyDescent="0.25">
      <c r="E277" s="5"/>
    </row>
    <row r="278" spans="5:5" x14ac:dyDescent="0.25">
      <c r="E278" s="5"/>
    </row>
    <row r="279" spans="5:5" x14ac:dyDescent="0.25">
      <c r="E279" s="5"/>
    </row>
    <row r="280" spans="5:5" x14ac:dyDescent="0.25">
      <c r="E280" s="5"/>
    </row>
    <row r="281" spans="5:5" x14ac:dyDescent="0.25">
      <c r="E281" s="5"/>
    </row>
    <row r="282" spans="5:5" x14ac:dyDescent="0.25">
      <c r="E282" s="5"/>
    </row>
    <row r="283" spans="5:5" x14ac:dyDescent="0.25">
      <c r="E283" s="5"/>
    </row>
    <row r="284" spans="5:5" x14ac:dyDescent="0.25">
      <c r="E284" s="5"/>
    </row>
    <row r="285" spans="5:5" x14ac:dyDescent="0.25">
      <c r="E285" s="5"/>
    </row>
    <row r="286" spans="5:5" x14ac:dyDescent="0.25">
      <c r="E286" s="5"/>
    </row>
    <row r="287" spans="5:5" x14ac:dyDescent="0.25">
      <c r="E287" s="5"/>
    </row>
    <row r="288" spans="5:5" x14ac:dyDescent="0.25">
      <c r="E288" s="5"/>
    </row>
    <row r="289" spans="5:5" x14ac:dyDescent="0.25">
      <c r="E289" s="5"/>
    </row>
    <row r="290" spans="5:5" x14ac:dyDescent="0.25">
      <c r="E290" s="5"/>
    </row>
    <row r="291" spans="5:5" x14ac:dyDescent="0.25">
      <c r="E291" s="5"/>
    </row>
    <row r="292" spans="5:5" x14ac:dyDescent="0.25">
      <c r="E292" s="5"/>
    </row>
    <row r="293" spans="5:5" x14ac:dyDescent="0.25">
      <c r="E293" s="5"/>
    </row>
    <row r="294" spans="5:5" x14ac:dyDescent="0.25">
      <c r="E294" s="5"/>
    </row>
    <row r="295" spans="5:5" x14ac:dyDescent="0.25">
      <c r="E295" s="5"/>
    </row>
    <row r="296" spans="5:5" x14ac:dyDescent="0.25">
      <c r="E296" s="5"/>
    </row>
    <row r="297" spans="5:5" x14ac:dyDescent="0.25">
      <c r="E297" s="5"/>
    </row>
    <row r="298" spans="5:5" x14ac:dyDescent="0.25">
      <c r="E298" s="5"/>
    </row>
    <row r="299" spans="5:5" x14ac:dyDescent="0.25">
      <c r="E299" s="5"/>
    </row>
    <row r="300" spans="5:5" x14ac:dyDescent="0.25">
      <c r="E300" s="5"/>
    </row>
    <row r="301" spans="5:5" x14ac:dyDescent="0.25">
      <c r="E301" s="5"/>
    </row>
    <row r="302" spans="5:5" x14ac:dyDescent="0.25">
      <c r="E302" s="5"/>
    </row>
    <row r="303" spans="5:5" x14ac:dyDescent="0.25">
      <c r="E303" s="5"/>
    </row>
    <row r="304" spans="5:5" x14ac:dyDescent="0.25">
      <c r="E304" s="5"/>
    </row>
    <row r="305" spans="5:5" x14ac:dyDescent="0.25">
      <c r="E305" s="5"/>
    </row>
    <row r="306" spans="5:5" x14ac:dyDescent="0.25">
      <c r="E306" s="5"/>
    </row>
    <row r="307" spans="5:5" x14ac:dyDescent="0.25">
      <c r="E307" s="5"/>
    </row>
    <row r="308" spans="5:5" x14ac:dyDescent="0.25">
      <c r="E308" s="5"/>
    </row>
    <row r="309" spans="5:5" x14ac:dyDescent="0.25">
      <c r="E309" s="5"/>
    </row>
    <row r="310" spans="5:5" x14ac:dyDescent="0.25">
      <c r="E310" s="5"/>
    </row>
    <row r="311" spans="5:5" x14ac:dyDescent="0.25">
      <c r="E311" s="5"/>
    </row>
    <row r="312" spans="5:5" x14ac:dyDescent="0.25">
      <c r="E312" s="5"/>
    </row>
    <row r="313" spans="5:5" x14ac:dyDescent="0.25">
      <c r="E313" s="5"/>
    </row>
    <row r="314" spans="5:5" x14ac:dyDescent="0.25">
      <c r="E314" s="5"/>
    </row>
    <row r="315" spans="5:5" x14ac:dyDescent="0.25">
      <c r="E315" s="5"/>
    </row>
    <row r="316" spans="5:5" x14ac:dyDescent="0.25">
      <c r="E316" s="5"/>
    </row>
    <row r="317" spans="5:5" x14ac:dyDescent="0.25">
      <c r="E317" s="5"/>
    </row>
    <row r="318" spans="5:5" x14ac:dyDescent="0.25">
      <c r="E318" s="5"/>
    </row>
    <row r="319" spans="5:5" x14ac:dyDescent="0.25">
      <c r="E319" s="5"/>
    </row>
    <row r="320" spans="5:5" x14ac:dyDescent="0.25">
      <c r="E320" s="5"/>
    </row>
    <row r="321" spans="5:5" x14ac:dyDescent="0.25">
      <c r="E321" s="5"/>
    </row>
    <row r="322" spans="5:5" x14ac:dyDescent="0.25">
      <c r="E322" s="5"/>
    </row>
    <row r="323" spans="5:5" x14ac:dyDescent="0.25">
      <c r="E323" s="5"/>
    </row>
    <row r="324" spans="5:5" x14ac:dyDescent="0.25">
      <c r="E324" s="5"/>
    </row>
    <row r="325" spans="5:5" x14ac:dyDescent="0.25">
      <c r="E325" s="5"/>
    </row>
    <row r="326" spans="5:5" x14ac:dyDescent="0.25">
      <c r="E326" s="5"/>
    </row>
    <row r="327" spans="5:5" x14ac:dyDescent="0.25">
      <c r="E327" s="5"/>
    </row>
    <row r="328" spans="5:5" x14ac:dyDescent="0.25">
      <c r="E328" s="5"/>
    </row>
    <row r="329" spans="5:5" x14ac:dyDescent="0.25">
      <c r="E329" s="5"/>
    </row>
    <row r="330" spans="5:5" x14ac:dyDescent="0.25">
      <c r="E330" s="5"/>
    </row>
    <row r="331" spans="5:5" x14ac:dyDescent="0.25">
      <c r="E331" s="5"/>
    </row>
    <row r="332" spans="5:5" x14ac:dyDescent="0.25">
      <c r="E332" s="5"/>
    </row>
    <row r="333" spans="5:5" x14ac:dyDescent="0.25">
      <c r="E333" s="5"/>
    </row>
    <row r="334" spans="5:5" x14ac:dyDescent="0.25">
      <c r="E334" s="5"/>
    </row>
    <row r="335" spans="5:5" x14ac:dyDescent="0.25">
      <c r="E335" s="5"/>
    </row>
    <row r="336" spans="5:5" x14ac:dyDescent="0.25">
      <c r="E336" s="5"/>
    </row>
    <row r="337" spans="5:5" x14ac:dyDescent="0.25">
      <c r="E337" s="5"/>
    </row>
    <row r="338" spans="5:5" x14ac:dyDescent="0.25">
      <c r="E338" s="5"/>
    </row>
    <row r="339" spans="5:5" x14ac:dyDescent="0.25">
      <c r="E339" s="5"/>
    </row>
    <row r="340" spans="5:5" x14ac:dyDescent="0.25">
      <c r="E340" s="5"/>
    </row>
    <row r="341" spans="5:5" x14ac:dyDescent="0.25">
      <c r="E341" s="5"/>
    </row>
    <row r="342" spans="5:5" x14ac:dyDescent="0.25">
      <c r="E342" s="5"/>
    </row>
    <row r="343" spans="5:5" x14ac:dyDescent="0.25">
      <c r="E343" s="5"/>
    </row>
    <row r="344" spans="5:5" x14ac:dyDescent="0.25">
      <c r="E344" s="5"/>
    </row>
    <row r="345" spans="5:5" x14ac:dyDescent="0.25">
      <c r="E345" s="5"/>
    </row>
    <row r="346" spans="5:5" x14ac:dyDescent="0.25">
      <c r="E346" s="5"/>
    </row>
    <row r="347" spans="5:5" x14ac:dyDescent="0.25">
      <c r="E347" s="5"/>
    </row>
    <row r="348" spans="5:5" x14ac:dyDescent="0.25">
      <c r="E348" s="5"/>
    </row>
    <row r="349" spans="5:5" x14ac:dyDescent="0.25">
      <c r="E349" s="5"/>
    </row>
    <row r="350" spans="5:5" x14ac:dyDescent="0.25">
      <c r="E350" s="5"/>
    </row>
    <row r="351" spans="5:5" x14ac:dyDescent="0.25">
      <c r="E351" s="5"/>
    </row>
    <row r="352" spans="5:5" x14ac:dyDescent="0.25">
      <c r="E352" s="5"/>
    </row>
    <row r="353" spans="5:5" x14ac:dyDescent="0.25">
      <c r="E353" s="5"/>
    </row>
    <row r="354" spans="5:5" x14ac:dyDescent="0.25">
      <c r="E354" s="5"/>
    </row>
    <row r="355" spans="5:5" x14ac:dyDescent="0.25">
      <c r="E355" s="5"/>
    </row>
    <row r="356" spans="5:5" x14ac:dyDescent="0.25">
      <c r="E356" s="5"/>
    </row>
    <row r="357" spans="5:5" x14ac:dyDescent="0.25">
      <c r="E357" s="5"/>
    </row>
    <row r="358" spans="5:5" x14ac:dyDescent="0.25">
      <c r="E358" s="5"/>
    </row>
    <row r="359" spans="5:5" x14ac:dyDescent="0.25">
      <c r="E359" s="5"/>
    </row>
    <row r="360" spans="5:5" x14ac:dyDescent="0.25">
      <c r="E360" s="5"/>
    </row>
    <row r="361" spans="5:5" x14ac:dyDescent="0.25">
      <c r="E361" s="5"/>
    </row>
    <row r="362" spans="5:5" x14ac:dyDescent="0.25">
      <c r="E362" s="5"/>
    </row>
    <row r="363" spans="5:5" x14ac:dyDescent="0.25">
      <c r="E363" s="5"/>
    </row>
    <row r="364" spans="5:5" x14ac:dyDescent="0.25">
      <c r="E364" s="5"/>
    </row>
    <row r="365" spans="5:5" x14ac:dyDescent="0.25">
      <c r="E365" s="5"/>
    </row>
    <row r="366" spans="5:5" x14ac:dyDescent="0.25">
      <c r="E366" s="5"/>
    </row>
    <row r="367" spans="5:5" x14ac:dyDescent="0.25">
      <c r="E367" s="5"/>
    </row>
    <row r="368" spans="5:5" x14ac:dyDescent="0.25">
      <c r="E368" s="5"/>
    </row>
    <row r="369" spans="5:5" x14ac:dyDescent="0.25">
      <c r="E369" s="5"/>
    </row>
    <row r="370" spans="5:5" x14ac:dyDescent="0.25">
      <c r="E370" s="5"/>
    </row>
    <row r="371" spans="5:5" x14ac:dyDescent="0.25">
      <c r="E371" s="5"/>
    </row>
    <row r="372" spans="5:5" x14ac:dyDescent="0.25">
      <c r="E372" s="5"/>
    </row>
    <row r="373" spans="5:5" x14ac:dyDescent="0.25">
      <c r="E373" s="5"/>
    </row>
    <row r="374" spans="5:5" x14ac:dyDescent="0.25">
      <c r="E374" s="5"/>
    </row>
    <row r="375" spans="5:5" x14ac:dyDescent="0.25">
      <c r="E375" s="5"/>
    </row>
    <row r="376" spans="5:5" x14ac:dyDescent="0.25">
      <c r="E376" s="5"/>
    </row>
    <row r="377" spans="5:5" x14ac:dyDescent="0.25">
      <c r="E377" s="5"/>
    </row>
    <row r="378" spans="5:5" x14ac:dyDescent="0.25">
      <c r="E378" s="5"/>
    </row>
    <row r="379" spans="5:5" x14ac:dyDescent="0.25">
      <c r="E379" s="5"/>
    </row>
    <row r="380" spans="5:5" x14ac:dyDescent="0.25">
      <c r="E380" s="5"/>
    </row>
    <row r="381" spans="5:5" x14ac:dyDescent="0.25">
      <c r="E381" s="5"/>
    </row>
    <row r="382" spans="5:5" x14ac:dyDescent="0.25">
      <c r="E382" s="5"/>
    </row>
    <row r="383" spans="5:5" x14ac:dyDescent="0.25">
      <c r="E383" s="5"/>
    </row>
    <row r="384" spans="5:5" x14ac:dyDescent="0.25">
      <c r="E384" s="5"/>
    </row>
    <row r="385" spans="5:5" x14ac:dyDescent="0.25">
      <c r="E385" s="5"/>
    </row>
    <row r="386" spans="5:5" x14ac:dyDescent="0.25">
      <c r="E386" s="5"/>
    </row>
    <row r="387" spans="5:5" x14ac:dyDescent="0.25">
      <c r="E387" s="5"/>
    </row>
    <row r="388" spans="5:5" x14ac:dyDescent="0.25">
      <c r="E388" s="5"/>
    </row>
    <row r="389" spans="5:5" x14ac:dyDescent="0.25">
      <c r="E389" s="5"/>
    </row>
    <row r="390" spans="5:5" x14ac:dyDescent="0.25">
      <c r="E390" s="5"/>
    </row>
    <row r="391" spans="5:5" x14ac:dyDescent="0.25">
      <c r="E391" s="5"/>
    </row>
    <row r="392" spans="5:5" x14ac:dyDescent="0.25">
      <c r="E392" s="5"/>
    </row>
    <row r="393" spans="5:5" x14ac:dyDescent="0.25">
      <c r="E393" s="5"/>
    </row>
    <row r="394" spans="5:5" x14ac:dyDescent="0.25">
      <c r="E394" s="5"/>
    </row>
    <row r="395" spans="5:5" x14ac:dyDescent="0.25">
      <c r="E395" s="5"/>
    </row>
    <row r="396" spans="5:5" x14ac:dyDescent="0.25">
      <c r="E396" s="5"/>
    </row>
    <row r="397" spans="5:5" x14ac:dyDescent="0.25">
      <c r="E397" s="5"/>
    </row>
    <row r="398" spans="5:5" x14ac:dyDescent="0.25">
      <c r="E398" s="5"/>
    </row>
    <row r="399" spans="5:5" x14ac:dyDescent="0.25">
      <c r="E399" s="5"/>
    </row>
    <row r="400" spans="5:5" x14ac:dyDescent="0.25">
      <c r="E400" s="5"/>
    </row>
    <row r="401" spans="5:5" x14ac:dyDescent="0.25">
      <c r="E401" s="5"/>
    </row>
    <row r="402" spans="5:5" x14ac:dyDescent="0.25">
      <c r="E402" s="5"/>
    </row>
    <row r="403" spans="5:5" x14ac:dyDescent="0.25">
      <c r="E403" s="5"/>
    </row>
    <row r="404" spans="5:5" x14ac:dyDescent="0.25">
      <c r="E404" s="5"/>
    </row>
    <row r="405" spans="5:5" x14ac:dyDescent="0.25">
      <c r="E405" s="5"/>
    </row>
    <row r="406" spans="5:5" x14ac:dyDescent="0.25">
      <c r="E406" s="5"/>
    </row>
    <row r="407" spans="5:5" x14ac:dyDescent="0.25">
      <c r="E407" s="5"/>
    </row>
    <row r="408" spans="5:5" x14ac:dyDescent="0.25">
      <c r="E408" s="5"/>
    </row>
    <row r="409" spans="5:5" x14ac:dyDescent="0.25">
      <c r="E409" s="5"/>
    </row>
    <row r="410" spans="5:5" x14ac:dyDescent="0.25">
      <c r="E410" s="5"/>
    </row>
    <row r="411" spans="5:5" x14ac:dyDescent="0.25">
      <c r="E411" s="5"/>
    </row>
    <row r="412" spans="5:5" x14ac:dyDescent="0.25">
      <c r="E412" s="5"/>
    </row>
    <row r="413" spans="5:5" x14ac:dyDescent="0.25">
      <c r="E413" s="5"/>
    </row>
    <row r="414" spans="5:5" x14ac:dyDescent="0.25">
      <c r="E414" s="5"/>
    </row>
    <row r="415" spans="5:5" x14ac:dyDescent="0.25">
      <c r="E415" s="5"/>
    </row>
    <row r="416" spans="5:5" x14ac:dyDescent="0.25">
      <c r="E416" s="5"/>
    </row>
    <row r="417" spans="5:5" x14ac:dyDescent="0.25">
      <c r="E417" s="5"/>
    </row>
    <row r="418" spans="5:5" x14ac:dyDescent="0.25">
      <c r="E418" s="5"/>
    </row>
    <row r="419" spans="5:5" x14ac:dyDescent="0.25">
      <c r="E419" s="5"/>
    </row>
    <row r="420" spans="5:5" x14ac:dyDescent="0.25">
      <c r="E420" s="5"/>
    </row>
    <row r="421" spans="5:5" x14ac:dyDescent="0.25">
      <c r="E421" s="5"/>
    </row>
    <row r="422" spans="5:5" x14ac:dyDescent="0.25">
      <c r="E422" s="5"/>
    </row>
    <row r="423" spans="5:5" x14ac:dyDescent="0.25">
      <c r="E423" s="5"/>
    </row>
    <row r="424" spans="5:5" x14ac:dyDescent="0.25">
      <c r="E424" s="5"/>
    </row>
    <row r="425" spans="5:5" x14ac:dyDescent="0.25">
      <c r="E425" s="5"/>
    </row>
    <row r="426" spans="5:5" x14ac:dyDescent="0.25">
      <c r="E426" s="5"/>
    </row>
    <row r="427" spans="5:5" x14ac:dyDescent="0.25">
      <c r="E427" s="5"/>
    </row>
    <row r="428" spans="5:5" x14ac:dyDescent="0.25">
      <c r="E428" s="5"/>
    </row>
    <row r="429" spans="5:5" x14ac:dyDescent="0.25">
      <c r="E429" s="5"/>
    </row>
    <row r="430" spans="5:5" x14ac:dyDescent="0.25">
      <c r="E430" s="5"/>
    </row>
    <row r="431" spans="5:5" x14ac:dyDescent="0.25">
      <c r="E431" s="5"/>
    </row>
    <row r="432" spans="5:5" x14ac:dyDescent="0.25">
      <c r="E432" s="5"/>
    </row>
    <row r="433" spans="5:5" x14ac:dyDescent="0.25">
      <c r="E433" s="5"/>
    </row>
    <row r="434" spans="5:5" x14ac:dyDescent="0.25">
      <c r="E434" s="5"/>
    </row>
    <row r="435" spans="5:5" x14ac:dyDescent="0.25">
      <c r="E435" s="5"/>
    </row>
    <row r="436" spans="5:5" x14ac:dyDescent="0.25">
      <c r="E436" s="5"/>
    </row>
    <row r="437" spans="5:5" x14ac:dyDescent="0.25">
      <c r="E437" s="5"/>
    </row>
    <row r="438" spans="5:5" x14ac:dyDescent="0.25">
      <c r="E438" s="5"/>
    </row>
    <row r="439" spans="5:5" x14ac:dyDescent="0.25">
      <c r="E439" s="5"/>
    </row>
    <row r="440" spans="5:5" x14ac:dyDescent="0.25">
      <c r="E440" s="5"/>
    </row>
    <row r="441" spans="5:5" x14ac:dyDescent="0.25">
      <c r="E441" s="5"/>
    </row>
    <row r="442" spans="5:5" x14ac:dyDescent="0.25">
      <c r="E442" s="5"/>
    </row>
    <row r="443" spans="5:5" x14ac:dyDescent="0.25">
      <c r="E443" s="5"/>
    </row>
    <row r="444" spans="5:5" x14ac:dyDescent="0.25">
      <c r="E444" s="5"/>
    </row>
    <row r="445" spans="5:5" x14ac:dyDescent="0.25">
      <c r="E445" s="5"/>
    </row>
    <row r="446" spans="5:5" x14ac:dyDescent="0.25">
      <c r="E446" s="5"/>
    </row>
    <row r="447" spans="5:5" x14ac:dyDescent="0.25">
      <c r="E447" s="5"/>
    </row>
    <row r="448" spans="5:5" x14ac:dyDescent="0.25">
      <c r="E448" s="5"/>
    </row>
    <row r="449" spans="5:5" x14ac:dyDescent="0.25">
      <c r="E449" s="5"/>
    </row>
    <row r="450" spans="5:5" x14ac:dyDescent="0.25">
      <c r="E450" s="5"/>
    </row>
    <row r="451" spans="5:5" x14ac:dyDescent="0.25">
      <c r="E451" s="5"/>
    </row>
    <row r="452" spans="5:5" x14ac:dyDescent="0.25">
      <c r="E452" s="5"/>
    </row>
    <row r="453" spans="5:5" x14ac:dyDescent="0.25">
      <c r="E453" s="5"/>
    </row>
    <row r="454" spans="5:5" x14ac:dyDescent="0.25">
      <c r="E454" s="5"/>
    </row>
    <row r="455" spans="5:5" x14ac:dyDescent="0.25">
      <c r="E455" s="5"/>
    </row>
    <row r="456" spans="5:5" x14ac:dyDescent="0.25">
      <c r="E456" s="5"/>
    </row>
    <row r="457" spans="5:5" x14ac:dyDescent="0.25">
      <c r="E457" s="5"/>
    </row>
    <row r="458" spans="5:5" x14ac:dyDescent="0.25">
      <c r="E458" s="5"/>
    </row>
    <row r="459" spans="5:5" x14ac:dyDescent="0.25">
      <c r="E459" s="5"/>
    </row>
    <row r="460" spans="5:5" x14ac:dyDescent="0.25">
      <c r="E460" s="5"/>
    </row>
    <row r="461" spans="5:5" x14ac:dyDescent="0.25">
      <c r="E461" s="5"/>
    </row>
    <row r="462" spans="5:5" x14ac:dyDescent="0.25">
      <c r="E462" s="5"/>
    </row>
    <row r="463" spans="5:5" x14ac:dyDescent="0.25">
      <c r="E463" s="5"/>
    </row>
    <row r="464" spans="5:5" x14ac:dyDescent="0.25">
      <c r="E464" s="5"/>
    </row>
    <row r="465" spans="5:5" x14ac:dyDescent="0.25">
      <c r="E465" s="5"/>
    </row>
    <row r="466" spans="5:5" x14ac:dyDescent="0.25">
      <c r="E466" s="5"/>
    </row>
    <row r="467" spans="5:5" x14ac:dyDescent="0.25">
      <c r="E467" s="5"/>
    </row>
    <row r="468" spans="5:5" x14ac:dyDescent="0.25">
      <c r="E468" s="5"/>
    </row>
    <row r="469" spans="5:5" x14ac:dyDescent="0.25">
      <c r="E469" s="5"/>
    </row>
    <row r="470" spans="5:5" x14ac:dyDescent="0.25">
      <c r="E470" s="5"/>
    </row>
    <row r="471" spans="5:5" x14ac:dyDescent="0.25">
      <c r="E471" s="5"/>
    </row>
    <row r="472" spans="5:5" x14ac:dyDescent="0.25">
      <c r="E472" s="5"/>
    </row>
    <row r="473" spans="5:5" x14ac:dyDescent="0.25">
      <c r="E473" s="5"/>
    </row>
    <row r="474" spans="5:5" x14ac:dyDescent="0.25">
      <c r="E474" s="5"/>
    </row>
    <row r="475" spans="5:5" x14ac:dyDescent="0.25">
      <c r="E475" s="5"/>
    </row>
    <row r="476" spans="5:5" x14ac:dyDescent="0.25">
      <c r="E476" s="5"/>
    </row>
    <row r="477" spans="5:5" x14ac:dyDescent="0.25">
      <c r="E477" s="5"/>
    </row>
    <row r="478" spans="5:5" x14ac:dyDescent="0.25">
      <c r="E478" s="5"/>
    </row>
    <row r="479" spans="5:5" x14ac:dyDescent="0.25">
      <c r="E479" s="5"/>
    </row>
    <row r="480" spans="5:5" x14ac:dyDescent="0.25">
      <c r="E480" s="5"/>
    </row>
    <row r="481" spans="5:5" x14ac:dyDescent="0.25">
      <c r="E481" s="5"/>
    </row>
    <row r="482" spans="5:5" x14ac:dyDescent="0.25">
      <c r="E482" s="5"/>
    </row>
    <row r="483" spans="5:5" x14ac:dyDescent="0.25">
      <c r="E483" s="5"/>
    </row>
  </sheetData>
  <dataValidations count="2">
    <dataValidation type="list" allowBlank="1" showInputMessage="1" showErrorMessage="1" sqref="B4:B23" xr:uid="{E4182A36-34B0-4F8E-BE14-F27549B8A4B3}">
      <formula1>"Yes, No, Maybe"</formula1>
    </dataValidation>
    <dataValidation type="list" allowBlank="1" showInputMessage="1" showErrorMessage="1" sqref="D4:D23" xr:uid="{F79A982E-5255-4A4F-BF87-4F5889866A4D}">
      <formula1>"Yes, No, Roadmap"</formula1>
    </dataValidation>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9585-1510-45B3-86F0-4D32C5756400}">
  <sheetPr published="0"/>
  <dimension ref="A1:E66"/>
  <sheetViews>
    <sheetView zoomScale="75" zoomScaleNormal="75" workbookViewId="0">
      <pane ySplit="1" topLeftCell="A43" activePane="bottomLeft" state="frozen"/>
      <selection activeCell="A2" sqref="A2"/>
      <selection pane="bottomLeft" activeCell="D14" sqref="D14"/>
    </sheetView>
  </sheetViews>
  <sheetFormatPr defaultColWidth="60.28515625" defaultRowHeight="15.75" x14ac:dyDescent="0.25"/>
  <cols>
    <col min="1" max="3" width="63.7109375" style="33" customWidth="1"/>
    <col min="4" max="4" width="54.42578125" style="46" customWidth="1"/>
    <col min="5" max="16384" width="60.28515625" style="48"/>
  </cols>
  <sheetData>
    <row r="1" spans="1:5" ht="132" customHeight="1" x14ac:dyDescent="0.25">
      <c r="A1" s="7" t="s">
        <v>221</v>
      </c>
      <c r="B1" s="64" t="s">
        <v>416</v>
      </c>
      <c r="C1" s="64" t="s">
        <v>450</v>
      </c>
      <c r="D1" s="40" t="s">
        <v>485</v>
      </c>
      <c r="E1" s="40" t="s">
        <v>415</v>
      </c>
    </row>
    <row r="2" spans="1:5" ht="23.25" customHeight="1" x14ac:dyDescent="0.25">
      <c r="A2" s="80" t="s">
        <v>159</v>
      </c>
      <c r="B2" s="80" t="s">
        <v>159</v>
      </c>
      <c r="C2" s="80" t="s">
        <v>159</v>
      </c>
      <c r="D2" s="80" t="s">
        <v>159</v>
      </c>
      <c r="E2" s="80" t="s">
        <v>159</v>
      </c>
    </row>
    <row r="3" spans="1:5" ht="79.5" customHeight="1" x14ac:dyDescent="0.25">
      <c r="A3" s="31" t="s">
        <v>322</v>
      </c>
      <c r="B3" s="31"/>
      <c r="C3" s="31"/>
      <c r="D3" s="49"/>
      <c r="E3" s="47"/>
    </row>
    <row r="4" spans="1:5" ht="63" x14ac:dyDescent="0.25">
      <c r="A4" s="31" t="s">
        <v>362</v>
      </c>
      <c r="B4" s="31"/>
      <c r="C4" s="31"/>
      <c r="D4" s="49"/>
      <c r="E4" s="47"/>
    </row>
    <row r="5" spans="1:5" ht="31.5" x14ac:dyDescent="0.25">
      <c r="A5" s="31" t="s">
        <v>323</v>
      </c>
      <c r="B5" s="31"/>
      <c r="C5" s="31"/>
      <c r="D5" s="49"/>
      <c r="E5" s="47"/>
    </row>
    <row r="6" spans="1:5" ht="96.95" customHeight="1" x14ac:dyDescent="0.25">
      <c r="A6" s="31" t="s">
        <v>324</v>
      </c>
      <c r="B6" s="31"/>
      <c r="C6" s="31"/>
      <c r="D6" s="49"/>
      <c r="E6" s="47"/>
    </row>
    <row r="7" spans="1:5" x14ac:dyDescent="0.25">
      <c r="A7" s="31" t="s">
        <v>483</v>
      </c>
      <c r="B7" s="31"/>
      <c r="C7" s="31"/>
      <c r="D7" s="49"/>
      <c r="E7" s="47"/>
    </row>
    <row r="8" spans="1:5" ht="18.75" x14ac:dyDescent="0.25">
      <c r="A8" s="80" t="s">
        <v>325</v>
      </c>
      <c r="B8" s="80" t="s">
        <v>325</v>
      </c>
      <c r="C8" s="80" t="s">
        <v>325</v>
      </c>
      <c r="D8" s="80" t="s">
        <v>325</v>
      </c>
      <c r="E8" s="80" t="s">
        <v>325</v>
      </c>
    </row>
    <row r="9" spans="1:5" x14ac:dyDescent="0.25">
      <c r="A9" s="31" t="s">
        <v>326</v>
      </c>
      <c r="B9" s="31"/>
      <c r="C9" s="31"/>
      <c r="D9" s="49"/>
      <c r="E9" s="47"/>
    </row>
    <row r="10" spans="1:5" ht="31.5" x14ac:dyDescent="0.25">
      <c r="A10" s="31" t="s">
        <v>327</v>
      </c>
      <c r="B10" s="31"/>
      <c r="C10" s="31"/>
      <c r="D10" s="49"/>
      <c r="E10" s="47"/>
    </row>
    <row r="11" spans="1:5" ht="31.5" x14ac:dyDescent="0.25">
      <c r="A11" s="31" t="s">
        <v>328</v>
      </c>
      <c r="B11" s="31"/>
      <c r="C11" s="31"/>
      <c r="D11" s="49"/>
      <c r="E11" s="47"/>
    </row>
    <row r="12" spans="1:5" ht="31.5" x14ac:dyDescent="0.25">
      <c r="A12" s="31" t="s">
        <v>329</v>
      </c>
      <c r="B12" s="31"/>
      <c r="C12" s="31"/>
      <c r="D12" s="49"/>
      <c r="E12" s="47"/>
    </row>
    <row r="13" spans="1:5" ht="60" customHeight="1" x14ac:dyDescent="0.25">
      <c r="A13" s="31" t="s">
        <v>412</v>
      </c>
      <c r="B13" s="31"/>
      <c r="C13" s="31"/>
      <c r="D13" s="49"/>
      <c r="E13" s="47"/>
    </row>
    <row r="14" spans="1:5" ht="66" customHeight="1" x14ac:dyDescent="0.25">
      <c r="A14" s="80" t="s">
        <v>273</v>
      </c>
      <c r="B14" s="80" t="s">
        <v>273</v>
      </c>
      <c r="C14" s="80" t="s">
        <v>273</v>
      </c>
      <c r="D14" s="80" t="s">
        <v>273</v>
      </c>
      <c r="E14" s="80" t="s">
        <v>273</v>
      </c>
    </row>
    <row r="15" spans="1:5" ht="69" customHeight="1" x14ac:dyDescent="0.25">
      <c r="A15" s="31" t="s">
        <v>330</v>
      </c>
      <c r="B15" s="31"/>
      <c r="C15" s="31"/>
      <c r="D15" s="49"/>
      <c r="E15" s="31"/>
    </row>
    <row r="16" spans="1:5" ht="33" customHeight="1" x14ac:dyDescent="0.25">
      <c r="A16" s="31" t="s">
        <v>331</v>
      </c>
      <c r="B16" s="31"/>
      <c r="C16" s="31"/>
      <c r="D16" s="49"/>
      <c r="E16" s="31"/>
    </row>
    <row r="17" spans="1:5" ht="33" customHeight="1" x14ac:dyDescent="0.25">
      <c r="A17" s="31" t="s">
        <v>332</v>
      </c>
      <c r="B17" s="31"/>
      <c r="C17" s="31"/>
      <c r="D17" s="49"/>
      <c r="E17" s="31"/>
    </row>
    <row r="18" spans="1:5" ht="33" customHeight="1" x14ac:dyDescent="0.25">
      <c r="A18" s="31" t="s">
        <v>333</v>
      </c>
      <c r="B18" s="31"/>
      <c r="C18" s="31"/>
      <c r="D18" s="49"/>
      <c r="E18" s="31"/>
    </row>
    <row r="19" spans="1:5" ht="33" customHeight="1" x14ac:dyDescent="0.25">
      <c r="A19" s="31" t="s">
        <v>334</v>
      </c>
      <c r="B19" s="31"/>
      <c r="C19" s="31"/>
      <c r="D19" s="49"/>
      <c r="E19" s="31"/>
    </row>
    <row r="20" spans="1:5" ht="75" customHeight="1" x14ac:dyDescent="0.25">
      <c r="A20" s="31" t="s">
        <v>335</v>
      </c>
      <c r="B20" s="31"/>
      <c r="C20" s="31"/>
      <c r="D20" s="49"/>
      <c r="E20" s="31"/>
    </row>
    <row r="21" spans="1:5" ht="33" customHeight="1" x14ac:dyDescent="0.25">
      <c r="A21" s="31" t="s">
        <v>304</v>
      </c>
      <c r="B21" s="31"/>
      <c r="C21" s="31"/>
      <c r="D21" s="49"/>
      <c r="E21" s="31"/>
    </row>
    <row r="22" spans="1:5" ht="75.75" customHeight="1" x14ac:dyDescent="0.25">
      <c r="A22" s="80" t="s">
        <v>92</v>
      </c>
      <c r="B22" s="80" t="s">
        <v>92</v>
      </c>
      <c r="C22" s="80" t="s">
        <v>92</v>
      </c>
      <c r="D22" s="80" t="s">
        <v>92</v>
      </c>
      <c r="E22" s="80" t="s">
        <v>92</v>
      </c>
    </row>
    <row r="23" spans="1:5" ht="32.1" customHeight="1" x14ac:dyDescent="0.25">
      <c r="A23" s="31" t="s">
        <v>337</v>
      </c>
      <c r="B23" s="31"/>
      <c r="C23" s="31"/>
      <c r="D23" s="49"/>
      <c r="E23" s="47"/>
    </row>
    <row r="24" spans="1:5" ht="31.5" x14ac:dyDescent="0.25">
      <c r="A24" s="31" t="s">
        <v>338</v>
      </c>
      <c r="B24" s="31"/>
      <c r="C24" s="31"/>
      <c r="D24" s="49"/>
      <c r="E24" s="47"/>
    </row>
    <row r="25" spans="1:5" x14ac:dyDescent="0.25">
      <c r="A25" s="31" t="s">
        <v>339</v>
      </c>
      <c r="B25" s="31"/>
      <c r="C25" s="31"/>
      <c r="D25" s="49"/>
      <c r="E25" s="47"/>
    </row>
    <row r="26" spans="1:5" ht="47.25" x14ac:dyDescent="0.25">
      <c r="A26" s="31" t="s">
        <v>340</v>
      </c>
      <c r="B26" s="31"/>
      <c r="C26" s="31"/>
      <c r="D26" s="49"/>
      <c r="E26" s="47"/>
    </row>
    <row r="27" spans="1:5" ht="58.5" customHeight="1" x14ac:dyDescent="0.25">
      <c r="A27" s="80" t="s">
        <v>59</v>
      </c>
      <c r="B27" s="80" t="s">
        <v>59</v>
      </c>
      <c r="C27" s="80" t="s">
        <v>59</v>
      </c>
      <c r="D27" s="80" t="s">
        <v>59</v>
      </c>
      <c r="E27" s="80" t="s">
        <v>59</v>
      </c>
    </row>
    <row r="28" spans="1:5" ht="31.5" x14ac:dyDescent="0.25">
      <c r="A28" s="31" t="s">
        <v>341</v>
      </c>
      <c r="B28" s="31"/>
      <c r="C28" s="31"/>
      <c r="D28" s="49"/>
      <c r="E28" s="47"/>
    </row>
    <row r="29" spans="1:5" ht="31.5" x14ac:dyDescent="0.25">
      <c r="A29" s="31" t="s">
        <v>477</v>
      </c>
      <c r="B29" s="31"/>
      <c r="C29" s="31"/>
      <c r="D29" s="49"/>
      <c r="E29" s="47"/>
    </row>
    <row r="30" spans="1:5" ht="31.5" x14ac:dyDescent="0.25">
      <c r="A30" s="31" t="s">
        <v>296</v>
      </c>
      <c r="B30" s="31"/>
      <c r="C30" s="31"/>
      <c r="D30" s="49"/>
      <c r="E30" s="47"/>
    </row>
    <row r="31" spans="1:5" ht="31.5" x14ac:dyDescent="0.25">
      <c r="A31" s="31" t="s">
        <v>297</v>
      </c>
      <c r="B31" s="31"/>
      <c r="C31" s="31"/>
      <c r="D31" s="49"/>
      <c r="E31" s="47"/>
    </row>
    <row r="32" spans="1:5" ht="31.5" x14ac:dyDescent="0.25">
      <c r="A32" s="31" t="s">
        <v>342</v>
      </c>
      <c r="B32" s="31"/>
      <c r="C32" s="31"/>
      <c r="D32" s="49"/>
      <c r="E32" s="47"/>
    </row>
    <row r="33" spans="1:5" x14ac:dyDescent="0.25">
      <c r="A33" s="30" t="s">
        <v>313</v>
      </c>
      <c r="B33" s="31"/>
      <c r="C33" s="31"/>
      <c r="D33" s="49"/>
      <c r="E33" s="47"/>
    </row>
    <row r="34" spans="1:5" x14ac:dyDescent="0.25">
      <c r="A34" s="31" t="s">
        <v>314</v>
      </c>
      <c r="B34" s="31"/>
      <c r="C34" s="31"/>
      <c r="D34" s="49"/>
      <c r="E34" s="47"/>
    </row>
    <row r="35" spans="1:5" x14ac:dyDescent="0.25">
      <c r="A35" s="31" t="s">
        <v>404</v>
      </c>
      <c r="B35" s="31"/>
      <c r="C35" s="31"/>
      <c r="D35" s="49"/>
      <c r="E35" s="47"/>
    </row>
    <row r="36" spans="1:5" ht="63" x14ac:dyDescent="0.25">
      <c r="A36" s="30" t="s">
        <v>343</v>
      </c>
      <c r="B36" s="31"/>
      <c r="C36" s="31"/>
      <c r="D36" s="49"/>
      <c r="E36" s="47"/>
    </row>
    <row r="37" spans="1:5" ht="18.75" x14ac:dyDescent="0.25">
      <c r="A37" s="80" t="s">
        <v>63</v>
      </c>
      <c r="B37" s="80" t="s">
        <v>63</v>
      </c>
      <c r="C37" s="80" t="s">
        <v>63</v>
      </c>
      <c r="D37" s="80" t="s">
        <v>63</v>
      </c>
      <c r="E37" s="80" t="s">
        <v>63</v>
      </c>
    </row>
    <row r="38" spans="1:5" ht="31.5" x14ac:dyDescent="0.25">
      <c r="A38" s="31" t="s">
        <v>344</v>
      </c>
      <c r="B38" s="31"/>
      <c r="C38" s="31"/>
      <c r="D38" s="49"/>
      <c r="E38" s="47"/>
    </row>
    <row r="39" spans="1:5" ht="31.5" x14ac:dyDescent="0.25">
      <c r="A39" s="30" t="s">
        <v>345</v>
      </c>
      <c r="B39" s="31"/>
      <c r="C39" s="31"/>
      <c r="D39" s="49"/>
      <c r="E39" s="47"/>
    </row>
    <row r="40" spans="1:5" x14ac:dyDescent="0.25">
      <c r="A40" s="30" t="s">
        <v>346</v>
      </c>
      <c r="B40" s="31"/>
      <c r="C40" s="31"/>
      <c r="D40" s="49"/>
      <c r="E40" s="47"/>
    </row>
    <row r="41" spans="1:5" ht="34.5" customHeight="1" x14ac:dyDescent="0.25">
      <c r="A41" s="80" t="s">
        <v>347</v>
      </c>
      <c r="B41" s="80" t="s">
        <v>347</v>
      </c>
      <c r="C41" s="80" t="s">
        <v>347</v>
      </c>
      <c r="D41" s="80" t="s">
        <v>347</v>
      </c>
      <c r="E41" s="80" t="s">
        <v>347</v>
      </c>
    </row>
    <row r="42" spans="1:5" ht="51.75" customHeight="1" x14ac:dyDescent="0.25">
      <c r="A42" s="31" t="s">
        <v>32</v>
      </c>
      <c r="B42" s="31"/>
      <c r="C42" s="31"/>
      <c r="D42" s="49"/>
      <c r="E42" s="47"/>
    </row>
    <row r="43" spans="1:5" ht="47.25" x14ac:dyDescent="0.25">
      <c r="A43" s="30" t="s">
        <v>348</v>
      </c>
      <c r="B43" s="31"/>
      <c r="C43" s="31"/>
      <c r="D43" s="49"/>
      <c r="E43" s="47"/>
    </row>
    <row r="44" spans="1:5" ht="47.25" x14ac:dyDescent="0.25">
      <c r="A44" s="31" t="s">
        <v>301</v>
      </c>
      <c r="B44" s="31"/>
      <c r="C44" s="31"/>
      <c r="D44" s="49"/>
      <c r="E44" s="47"/>
    </row>
    <row r="45" spans="1:5" ht="71.099999999999994" customHeight="1" x14ac:dyDescent="0.25">
      <c r="A45" s="31" t="s">
        <v>274</v>
      </c>
      <c r="B45" s="31"/>
      <c r="C45" s="31"/>
      <c r="D45" s="49"/>
      <c r="E45" s="47"/>
    </row>
    <row r="46" spans="1:5" ht="71.099999999999994" customHeight="1" x14ac:dyDescent="0.25">
      <c r="A46" s="30" t="s">
        <v>481</v>
      </c>
      <c r="B46" s="31"/>
      <c r="C46" s="31"/>
      <c r="D46" s="49"/>
      <c r="E46" s="47"/>
    </row>
    <row r="47" spans="1:5" ht="71.099999999999994" customHeight="1" x14ac:dyDescent="0.25">
      <c r="A47" s="30" t="s">
        <v>482</v>
      </c>
      <c r="B47" s="31"/>
      <c r="C47" s="31"/>
      <c r="D47" s="49"/>
      <c r="E47" s="47"/>
    </row>
    <row r="48" spans="1:5" ht="71.099999999999994" customHeight="1" x14ac:dyDescent="0.25">
      <c r="A48" s="31" t="s">
        <v>267</v>
      </c>
      <c r="B48" s="31"/>
      <c r="C48" s="31"/>
      <c r="D48" s="49"/>
      <c r="E48" s="47"/>
    </row>
    <row r="49" spans="1:5" ht="60.95" customHeight="1" x14ac:dyDescent="0.25">
      <c r="A49" s="30" t="s">
        <v>302</v>
      </c>
      <c r="B49" s="31"/>
      <c r="C49" s="31"/>
      <c r="D49" s="49"/>
      <c r="E49" s="47"/>
    </row>
    <row r="50" spans="1:5" ht="63" x14ac:dyDescent="0.25">
      <c r="A50" s="31" t="s">
        <v>435</v>
      </c>
      <c r="B50" s="31"/>
      <c r="C50" s="31"/>
      <c r="D50" s="49"/>
      <c r="E50" s="47"/>
    </row>
    <row r="51" spans="1:5" ht="31.5" x14ac:dyDescent="0.25">
      <c r="A51" s="30" t="s">
        <v>259</v>
      </c>
      <c r="B51" s="31"/>
      <c r="C51" s="31"/>
      <c r="D51" s="49"/>
      <c r="E51" s="47"/>
    </row>
    <row r="52" spans="1:5" ht="18.75" x14ac:dyDescent="0.25">
      <c r="A52" s="80" t="s">
        <v>265</v>
      </c>
      <c r="B52" s="80" t="s">
        <v>265</v>
      </c>
      <c r="C52" s="80" t="s">
        <v>265</v>
      </c>
      <c r="D52" s="80" t="s">
        <v>265</v>
      </c>
      <c r="E52" s="80" t="s">
        <v>265</v>
      </c>
    </row>
    <row r="53" spans="1:5" ht="31.5" x14ac:dyDescent="0.25">
      <c r="A53" s="30" t="s">
        <v>349</v>
      </c>
      <c r="B53" s="31"/>
      <c r="C53" s="31"/>
      <c r="D53" s="49"/>
      <c r="E53" s="47"/>
    </row>
    <row r="54" spans="1:5" x14ac:dyDescent="0.25">
      <c r="A54" s="30" t="s">
        <v>350</v>
      </c>
      <c r="B54" s="31"/>
      <c r="C54" s="31"/>
      <c r="D54" s="49"/>
      <c r="E54" s="47"/>
    </row>
    <row r="55" spans="1:5" ht="47.25" x14ac:dyDescent="0.25">
      <c r="A55" s="30" t="s">
        <v>351</v>
      </c>
      <c r="B55" s="31"/>
      <c r="C55" s="31"/>
      <c r="D55" s="49"/>
      <c r="E55" s="47"/>
    </row>
    <row r="56" spans="1:5" ht="47.25" x14ac:dyDescent="0.25">
      <c r="A56" s="30" t="s">
        <v>352</v>
      </c>
      <c r="B56" s="31"/>
      <c r="C56" s="31"/>
      <c r="D56" s="49"/>
      <c r="E56" s="47"/>
    </row>
    <row r="57" spans="1:5" ht="31.5" x14ac:dyDescent="0.25">
      <c r="A57" s="30" t="s">
        <v>353</v>
      </c>
      <c r="B57" s="31"/>
      <c r="C57" s="31"/>
      <c r="D57" s="49"/>
      <c r="E57" s="47"/>
    </row>
    <row r="58" spans="1:5" ht="47.25" x14ac:dyDescent="0.25">
      <c r="A58" s="30" t="s">
        <v>354</v>
      </c>
      <c r="B58" s="31"/>
      <c r="C58" s="31"/>
      <c r="D58" s="49"/>
      <c r="E58" s="47"/>
    </row>
    <row r="59" spans="1:5" ht="46.5" customHeight="1" x14ac:dyDescent="0.25">
      <c r="A59" s="80" t="s">
        <v>355</v>
      </c>
      <c r="B59" s="80" t="s">
        <v>355</v>
      </c>
      <c r="C59" s="80" t="s">
        <v>355</v>
      </c>
      <c r="D59" s="80" t="s">
        <v>355</v>
      </c>
      <c r="E59" s="80" t="s">
        <v>355</v>
      </c>
    </row>
    <row r="60" spans="1:5" x14ac:dyDescent="0.25">
      <c r="A60" s="31" t="s">
        <v>356</v>
      </c>
      <c r="B60" s="31"/>
      <c r="C60" s="31"/>
      <c r="D60" s="49"/>
      <c r="E60" s="47"/>
    </row>
    <row r="61" spans="1:5" ht="31.5" x14ac:dyDescent="0.25">
      <c r="A61" s="31" t="s">
        <v>357</v>
      </c>
      <c r="B61" s="31"/>
      <c r="C61" s="31"/>
      <c r="D61" s="49"/>
      <c r="E61" s="47"/>
    </row>
    <row r="62" spans="1:5" x14ac:dyDescent="0.25">
      <c r="A62" s="31" t="s">
        <v>407</v>
      </c>
      <c r="B62" s="31"/>
      <c r="C62" s="31"/>
      <c r="D62" s="49"/>
      <c r="E62" s="47"/>
    </row>
    <row r="63" spans="1:5" x14ac:dyDescent="0.25">
      <c r="A63" s="31" t="s">
        <v>358</v>
      </c>
      <c r="B63" s="31"/>
      <c r="C63" s="31"/>
      <c r="D63" s="49"/>
      <c r="E63" s="47"/>
    </row>
    <row r="64" spans="1:5" ht="47.25" x14ac:dyDescent="0.25">
      <c r="A64" s="31" t="s">
        <v>359</v>
      </c>
      <c r="B64" s="31"/>
      <c r="C64" s="31"/>
      <c r="D64" s="49"/>
      <c r="E64" s="47"/>
    </row>
    <row r="65" spans="1:5" x14ac:dyDescent="0.25">
      <c r="A65" s="31" t="s">
        <v>360</v>
      </c>
      <c r="B65" s="31"/>
      <c r="C65" s="31"/>
      <c r="D65" s="49"/>
      <c r="E65" s="47"/>
    </row>
    <row r="66" spans="1:5" ht="63" x14ac:dyDescent="0.25">
      <c r="A66" s="31" t="s">
        <v>361</v>
      </c>
      <c r="B66" s="31"/>
      <c r="C66" s="31"/>
      <c r="D66" s="49"/>
      <c r="E66" s="47"/>
    </row>
  </sheetData>
  <dataValidations count="3">
    <dataValidation type="list" allowBlank="1" showInputMessage="1" showErrorMessage="1" sqref="D15:D21 D23:D26 D38:D40 D60:D66 D9:D13 D53:D58 D42:D51 D28:D36 D3:D7" xr:uid="{CD4B4E27-E9A4-43DF-AA4F-02D9E4B8A97F}">
      <formula1>"Yes, No, Roadmap"</formula1>
    </dataValidation>
    <dataValidation type="list" allowBlank="1" showInputMessage="1" showErrorMessage="1" sqref="B53:B58 B9:B13 B15:B21 B23:B26 B38:B40 B42:B51 B60:B66 B28:B36 B3:B7" xr:uid="{4817B921-9DD1-4119-85A7-24F7066B0ABB}">
      <formula1>"Yes, No, Maybe"</formula1>
    </dataValidation>
    <dataValidation showInputMessage="1" showErrorMessage="1" sqref="C9:C13 C15:C21 C23:C26 C38:C40 C42:C51 C53:C58 C60:C66 C28:C36 C3:C7" xr:uid="{4428A64C-2899-455B-B1B5-C89E10BB477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2D11-C4D9-46AC-89C6-4FBEF7193C31}">
  <sheetPr published="0"/>
  <dimension ref="A1:Y14"/>
  <sheetViews>
    <sheetView workbookViewId="0">
      <pane ySplit="1" topLeftCell="A7" activePane="bottomLeft" state="frozen"/>
      <selection pane="bottomLeft" activeCell="E7" sqref="E7"/>
    </sheetView>
  </sheetViews>
  <sheetFormatPr defaultColWidth="8.85546875" defaultRowHeight="15" x14ac:dyDescent="0.25"/>
  <cols>
    <col min="1" max="1" width="32.85546875" style="11" bestFit="1" customWidth="1"/>
    <col min="2" max="2" width="46.7109375" customWidth="1"/>
    <col min="3" max="4" width="8.85546875" style="8"/>
    <col min="5" max="5" width="59.7109375" style="8" customWidth="1"/>
    <col min="6" max="25" width="8.85546875" style="8"/>
  </cols>
  <sheetData>
    <row r="1" spans="1:2" ht="21" x14ac:dyDescent="0.35">
      <c r="A1" s="93" t="s">
        <v>363</v>
      </c>
      <c r="B1" s="94"/>
    </row>
    <row r="2" spans="1:2" ht="90" x14ac:dyDescent="0.25">
      <c r="A2" s="9" t="s">
        <v>364</v>
      </c>
      <c r="B2" s="10"/>
    </row>
    <row r="3" spans="1:2" ht="75" x14ac:dyDescent="0.25">
      <c r="A3" s="9" t="s">
        <v>365</v>
      </c>
      <c r="B3" s="10"/>
    </row>
    <row r="4" spans="1:2" ht="51" customHeight="1" x14ac:dyDescent="0.25">
      <c r="A4" s="9" t="s">
        <v>366</v>
      </c>
      <c r="B4" s="10"/>
    </row>
    <row r="5" spans="1:2" ht="30" x14ac:dyDescent="0.25">
      <c r="A5" s="9" t="s">
        <v>367</v>
      </c>
      <c r="B5" s="10"/>
    </row>
    <row r="6" spans="1:2" ht="30" x14ac:dyDescent="0.25">
      <c r="A6" s="9" t="s">
        <v>368</v>
      </c>
      <c r="B6" s="10"/>
    </row>
    <row r="7" spans="1:2" ht="60" x14ac:dyDescent="0.25">
      <c r="A7" s="12" t="s">
        <v>414</v>
      </c>
      <c r="B7" s="10"/>
    </row>
    <row r="8" spans="1:2" ht="60" x14ac:dyDescent="0.25">
      <c r="A8" s="12" t="s">
        <v>369</v>
      </c>
      <c r="B8" s="10"/>
    </row>
    <row r="9" spans="1:2" ht="60" x14ac:dyDescent="0.25">
      <c r="A9" s="12" t="s">
        <v>370</v>
      </c>
      <c r="B9" s="10"/>
    </row>
    <row r="10" spans="1:2" ht="75.75" thickBot="1" x14ac:dyDescent="0.3">
      <c r="A10" s="9" t="s">
        <v>371</v>
      </c>
      <c r="B10" s="10"/>
    </row>
    <row r="11" spans="1:2" ht="21" x14ac:dyDescent="0.35">
      <c r="A11" s="93" t="s">
        <v>372</v>
      </c>
      <c r="B11" s="94"/>
    </row>
    <row r="12" spans="1:2" ht="30" x14ac:dyDescent="0.25">
      <c r="A12" s="9" t="s">
        <v>373</v>
      </c>
      <c r="B12" s="10"/>
    </row>
    <row r="13" spans="1:2" ht="60" x14ac:dyDescent="0.25">
      <c r="A13" s="9" t="s">
        <v>374</v>
      </c>
      <c r="B13" s="10"/>
    </row>
    <row r="14" spans="1:2" ht="45" x14ac:dyDescent="0.25">
      <c r="A14" s="9" t="s">
        <v>375</v>
      </c>
      <c r="B14" s="10"/>
    </row>
  </sheetData>
  <mergeCells count="2">
    <mergeCell ref="A1:B1"/>
    <mergeCell ref="A11: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61B7-030A-48D9-8A87-CA14B738F6FC}">
  <sheetPr published="0"/>
  <dimension ref="A1:C17"/>
  <sheetViews>
    <sheetView workbookViewId="0">
      <pane ySplit="1" topLeftCell="A2" activePane="bottomLeft" state="frozen"/>
      <selection pane="bottomLeft" activeCell="F16" sqref="F16"/>
    </sheetView>
  </sheetViews>
  <sheetFormatPr defaultRowHeight="15" x14ac:dyDescent="0.25"/>
  <cols>
    <col min="1" max="1" width="38.42578125" customWidth="1"/>
    <col min="2" max="2" width="75.28515625" customWidth="1"/>
    <col min="3" max="3" width="9.140625" hidden="1" customWidth="1"/>
  </cols>
  <sheetData>
    <row r="1" spans="1:2" ht="21" x14ac:dyDescent="0.35">
      <c r="A1" s="93" t="s">
        <v>392</v>
      </c>
      <c r="B1" s="94"/>
    </row>
    <row r="2" spans="1:2" ht="30" x14ac:dyDescent="0.25">
      <c r="A2" s="9" t="s">
        <v>376</v>
      </c>
      <c r="B2" s="10"/>
    </row>
    <row r="3" spans="1:2" ht="93.75" customHeight="1" x14ac:dyDescent="0.25">
      <c r="A3" s="9" t="s">
        <v>377</v>
      </c>
      <c r="B3" s="10"/>
    </row>
    <row r="4" spans="1:2" ht="75" x14ac:dyDescent="0.25">
      <c r="A4" s="9" t="s">
        <v>378</v>
      </c>
      <c r="B4" s="10"/>
    </row>
    <row r="5" spans="1:2" ht="30" x14ac:dyDescent="0.25">
      <c r="A5" s="9" t="s">
        <v>379</v>
      </c>
      <c r="B5" s="10"/>
    </row>
    <row r="6" spans="1:2" ht="45" x14ac:dyDescent="0.25">
      <c r="A6" s="9" t="s">
        <v>380</v>
      </c>
      <c r="B6" s="10"/>
    </row>
    <row r="7" spans="1:2" ht="90" x14ac:dyDescent="0.25">
      <c r="A7" s="9" t="s">
        <v>381</v>
      </c>
      <c r="B7" s="10"/>
    </row>
    <row r="8" spans="1:2" ht="105" x14ac:dyDescent="0.25">
      <c r="A8" s="9" t="s">
        <v>382</v>
      </c>
      <c r="B8" s="10"/>
    </row>
    <row r="9" spans="1:2" x14ac:dyDescent="0.25">
      <c r="A9" s="9" t="s">
        <v>383</v>
      </c>
      <c r="B9" s="10"/>
    </row>
    <row r="10" spans="1:2" x14ac:dyDescent="0.25">
      <c r="A10" s="9" t="s">
        <v>384</v>
      </c>
      <c r="B10" s="10"/>
    </row>
    <row r="11" spans="1:2" x14ac:dyDescent="0.25">
      <c r="A11" s="9" t="s">
        <v>385</v>
      </c>
      <c r="B11" s="10"/>
    </row>
    <row r="12" spans="1:2" ht="30" x14ac:dyDescent="0.25">
      <c r="A12" s="9" t="s">
        <v>386</v>
      </c>
      <c r="B12" s="10"/>
    </row>
    <row r="13" spans="1:2" ht="75" x14ac:dyDescent="0.25">
      <c r="A13" s="9" t="s">
        <v>387</v>
      </c>
      <c r="B13" s="10"/>
    </row>
    <row r="14" spans="1:2" ht="60" x14ac:dyDescent="0.25">
      <c r="A14" s="9" t="s">
        <v>388</v>
      </c>
      <c r="B14" s="10"/>
    </row>
    <row r="15" spans="1:2" ht="60" x14ac:dyDescent="0.25">
      <c r="A15" s="13" t="s">
        <v>389</v>
      </c>
      <c r="B15" s="10"/>
    </row>
    <row r="16" spans="1:2" ht="45" x14ac:dyDescent="0.25">
      <c r="A16" s="13" t="s">
        <v>390</v>
      </c>
      <c r="B16" s="10"/>
    </row>
    <row r="17" spans="1:2" ht="75" x14ac:dyDescent="0.25">
      <c r="A17" s="13" t="s">
        <v>391</v>
      </c>
      <c r="B17" s="10"/>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EBFEB8B6A743545AD865A2FE426A198" ma:contentTypeVersion="11" ma:contentTypeDescription="Create a new document." ma:contentTypeScope="" ma:versionID="8518f42dff2391aace0d78be5729d39e">
  <xsd:schema xmlns:xsd="http://www.w3.org/2001/XMLSchema" xmlns:xs="http://www.w3.org/2001/XMLSchema" xmlns:p="http://schemas.microsoft.com/office/2006/metadata/properties" xmlns:ns3="9365c179-37f1-46c8-94be-c0b73ce019d8" targetNamespace="http://schemas.microsoft.com/office/2006/metadata/properties" ma:root="true" ma:fieldsID="65b126f5a2fb70d252d66159da4cf068" ns3:_="">
    <xsd:import namespace="9365c179-37f1-46c8-94be-c0b73ce019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5c179-37f1-46c8-94be-c0b73ce019d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8CB7E-593E-498E-9AD4-ADC8848482A3}">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purl.org/dc/elements/1.1/"/>
    <ds:schemaRef ds:uri="9365c179-37f1-46c8-94be-c0b73ce019d8"/>
    <ds:schemaRef ds:uri="http://www.w3.org/XML/1998/namespace"/>
  </ds:schemaRefs>
</ds:datastoreItem>
</file>

<file path=customXml/itemProps2.xml><?xml version="1.0" encoding="utf-8"?>
<ds:datastoreItem xmlns:ds="http://schemas.openxmlformats.org/officeDocument/2006/customXml" ds:itemID="{27FD6FF9-6E85-43C5-A03E-37E156D6E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5c179-37f1-46c8-94be-c0b73ce01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C310FE-3398-4BD2-8A73-4980EEFCA4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Sheet2</vt:lpstr>
      <vt:lpstr>Sheet1</vt:lpstr>
      <vt:lpstr>YourInformation </vt:lpstr>
      <vt:lpstr>Features_Functionality </vt:lpstr>
      <vt:lpstr>Mentoring</vt:lpstr>
      <vt:lpstr>cohort_based_learning</vt:lpstr>
      <vt:lpstr>Skills_Specific_Functionality </vt:lpstr>
      <vt:lpstr>Tech_Security </vt:lpstr>
      <vt:lpstr>Training_Support</vt:lpstr>
      <vt:lpstr>SystemInfo</vt:lpstr>
      <vt:lpstr>hi</vt:lpstr>
      <vt:lpstr>okay</vt:lpstr>
      <vt:lpstr>org</vt:lpstr>
      <vt:lpstr>time</vt:lpstr>
    </vt:vector>
  </TitlesOfParts>
  <Company>Informatica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LearningSystems</dc:title>
  <dc:creator>Craig Weiss</dc:creator>
  <cp:keywords>e-learning, RFP template, e-learning vendors</cp:keywords>
  <cp:lastModifiedBy>Craig Weiss</cp:lastModifiedBy>
  <cp:lastPrinted>2025-07-21T15:41:44Z</cp:lastPrinted>
  <dcterms:created xsi:type="dcterms:W3CDTF">2012-03-07T23:02:51Z</dcterms:created>
  <dcterms:modified xsi:type="dcterms:W3CDTF">2026-05-18T18:27:47Z</dcterms:modified>
  <cp:category>LMS, RFP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IsSaved">
    <vt:lpwstr>False</vt:lpwstr>
  </property>
  <property fmtid="{D5CDD505-2E9C-101B-9397-08002B2CF9AE}" pid="3" name="Offisync_ProviderName">
    <vt:lpwstr>Jive</vt:lpwstr>
  </property>
  <property fmtid="{D5CDD505-2E9C-101B-9397-08002B2CF9AE}" pid="4" name="Offisync_FileTitle">
    <vt:lpwstr/>
  </property>
  <property fmtid="{D5CDD505-2E9C-101B-9397-08002B2CF9AE}" pid="5" name="Offisync_FolderId">
    <vt:lpwstr/>
  </property>
  <property fmtid="{D5CDD505-2E9C-101B-9397-08002B2CF9AE}" pid="6" name="Offisync_SaveTime">
    <vt:lpwstr>2012-04-06T16:31:34.1503816-06:00</vt:lpwstr>
  </property>
  <property fmtid="{D5CDD505-2E9C-101B-9397-08002B2CF9AE}" pid="7" name="Offisync_ProviderInitializationData">
    <vt:lpwstr>https://connect.informatica.com/__services/v1/office</vt:lpwstr>
  </property>
  <property fmtid="{D5CDD505-2E9C-101B-9397-08002B2CF9AE}" pid="8" name="Offisync_UpdateToken">
    <vt:lpwstr>1</vt:lpwstr>
  </property>
  <property fmtid="{D5CDD505-2E9C-101B-9397-08002B2CF9AE}" pid="9" name="Offisync_UniqueId">
    <vt:lpwstr>12107</vt:lpwstr>
  </property>
  <property fmtid="{D5CDD505-2E9C-101B-9397-08002B2CF9AE}" pid="10" name="Offisync_IsFrozen">
    <vt:lpwstr>False</vt:lpwstr>
  </property>
  <property fmtid="{D5CDD505-2E9C-101B-9397-08002B2CF9AE}" pid="11" name="Offisync_SavedByUsername">
    <vt:lpwstr>msladden</vt:lpwstr>
  </property>
  <property fmtid="{D5CDD505-2E9C-101B-9397-08002B2CF9AE}" pid="12" name="Google.Documents.Tracking">
    <vt:lpwstr>true</vt:lpwstr>
  </property>
  <property fmtid="{D5CDD505-2E9C-101B-9397-08002B2CF9AE}" pid="13" name="Google.Documents.DocumentId">
    <vt:lpwstr>1exqPMXnpMAm--EFacnJ4ZWxhLmfu7Cl8mPjlhWgrqT0</vt:lpwstr>
  </property>
  <property fmtid="{D5CDD505-2E9C-101B-9397-08002B2CF9AE}" pid="14" name="Google.Documents.RevisionId">
    <vt:lpwstr>13961582617089952405</vt:lpwstr>
  </property>
  <property fmtid="{D5CDD505-2E9C-101B-9397-08002B2CF9AE}" pid="15" name="Google.Documents.PreviousRevisionId">
    <vt:lpwstr>10824684925528549659</vt:lpwstr>
  </property>
  <property fmtid="{D5CDD505-2E9C-101B-9397-08002B2CF9AE}" pid="16" name="Google.Documents.PluginVersion">
    <vt:lpwstr>2.0.2662.553</vt:lpwstr>
  </property>
  <property fmtid="{D5CDD505-2E9C-101B-9397-08002B2CF9AE}" pid="17" name="Google.Documents.MergeIncapabilityFlags">
    <vt:i4>0</vt:i4>
  </property>
  <property fmtid="{D5CDD505-2E9C-101B-9397-08002B2CF9AE}" pid="18" name="ContentTypeId">
    <vt:lpwstr>0x0101009EBFEB8B6A743545AD865A2FE426A198</vt:lpwstr>
  </property>
</Properties>
</file>